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19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2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9.xml" ContentType="application/vnd.openxmlformats-officedocument.spreadsheetml.table+xml"/>
  <Override PartName="/xl/tables/table31.xml" ContentType="application/vnd.openxmlformats-officedocument.spreadsheetml.table+xml"/>
  <Override PartName="/xl/tables/table34.xml" ContentType="application/vnd.openxmlformats-officedocument.spreadsheetml.table+xml"/>
  <Override PartName="/xl/tables/table33.xml" ContentType="application/vnd.openxmlformats-officedocument.spreadsheetml.table+xml"/>
  <Override PartName="/xl/tables/table32.xml" ContentType="application/vnd.openxmlformats-officedocument.spreadsheetml.table+xml"/>
  <Override PartName="/xl/tables/table30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9.xml" ContentType="application/vnd.openxmlformats-officedocument.spreadsheetml.table+xml"/>
  <Override PartName="/xl/tables/table38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0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3.xml" ContentType="application/vnd.openxmlformats-officedocument.spreadsheetml.table+xml"/>
  <Override PartName="/xl/tables/table46.xml" ContentType="application/vnd.openxmlformats-officedocument.spreadsheetml.table+xml"/>
  <Override PartName="/xl/tables/table48.xml" ContentType="application/vnd.openxmlformats-officedocument.spreadsheetml.table+xml"/>
  <Override PartName="/xl/tables/table50.xml" ContentType="application/vnd.openxmlformats-officedocument.spreadsheetml.table+xml"/>
  <Override PartName="/xl/tables/table47.xml" ContentType="application/vnd.openxmlformats-officedocument.spreadsheetml.table+xml"/>
  <Override PartName="/xl/tables/table4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435" windowWidth="24465" windowHeight="6480" activeTab="1"/>
  </bookViews>
  <sheets>
    <sheet name="Informe" sheetId="2" r:id="rId1"/>
    <sheet name="Estadística" sheetId="13" r:id="rId2"/>
    <sheet name="Presupuesto" sheetId="3" r:id="rId3"/>
    <sheet name="BBDD" sheetId="1" r:id="rId4"/>
    <sheet name="2008" sheetId="8" r:id="rId5"/>
    <sheet name="2008 NREF" sheetId="9" r:id="rId6"/>
    <sheet name="2009" sheetId="7" r:id="rId7"/>
    <sheet name="2009 NREF" sheetId="10" r:id="rId8"/>
    <sheet name="2010" sheetId="6" r:id="rId9"/>
    <sheet name="2010 NREF" sheetId="11" r:id="rId10"/>
    <sheet name="2011" sheetId="5" r:id="rId11"/>
    <sheet name="2011 NREF" sheetId="12" r:id="rId12"/>
    <sheet name="2012" sheetId="16" r:id="rId13"/>
    <sheet name="Hoja2" sheetId="15" r:id="rId14"/>
  </sheets>
  <definedNames/>
  <calcPr calcId="152511"/>
  <extLst/>
</workbook>
</file>

<file path=xl/comments1.xml><?xml version="1.0" encoding="utf-8"?>
<comments xmlns="http://schemas.openxmlformats.org/spreadsheetml/2006/main">
  <authors>
    <author>fcorumon</author>
  </authors>
  <commentList>
    <comment ref="C6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BBDD dada de baja en septiembre 2012. No podemos recuperar los resultados</t>
        </r>
      </text>
    </comment>
    <comment ref="C37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BBDD dada de baja en septiembre 2012. No podemos recuperar los resultados</t>
        </r>
      </text>
    </comment>
  </commentList>
</comments>
</file>

<file path=xl/comments10.xml><?xml version="1.0" encoding="utf-8"?>
<comments xmlns="http://schemas.openxmlformats.org/spreadsheetml/2006/main">
  <authors>
    <author>fcorumon</author>
  </authors>
  <commentList>
    <comment ref="G5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12.xml><?xml version="1.0" encoding="utf-8"?>
<comments xmlns="http://schemas.openxmlformats.org/spreadsheetml/2006/main">
  <authors>
    <author>fcorumon</author>
  </authors>
  <commentList>
    <comment ref="G5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2.xml><?xml version="1.0" encoding="utf-8"?>
<comments xmlns="http://schemas.openxmlformats.org/spreadsheetml/2006/main">
  <authors>
    <author>fcorumon</author>
  </authors>
  <commentList>
    <comment ref="B7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Suma de impreso y electrónico</t>
        </r>
      </text>
    </comment>
  </commentList>
</comments>
</file>

<file path=xl/comments3.xml><?xml version="1.0" encoding="utf-8"?>
<comments xmlns="http://schemas.openxmlformats.org/spreadsheetml/2006/main">
  <authors>
    <author>fcorumon</author>
  </authors>
  <commentList>
    <comment ref="B7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Suma de impreso y electrónico</t>
        </r>
      </text>
    </comment>
    <comment ref="B36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Suma de impreso y electrónico</t>
        </r>
      </text>
    </comment>
  </commentList>
</comments>
</file>

<file path=xl/comments4.xml><?xml version="1.0" encoding="utf-8"?>
<comments xmlns="http://schemas.openxmlformats.org/spreadsheetml/2006/main">
  <authors>
    <author>fcorumon</author>
  </authors>
  <commentList>
    <comment ref="B38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Se ha usado la opción de eliminar duplicados</t>
        </r>
      </text>
    </comment>
  </commentList>
</comments>
</file>

<file path=xl/comments6.xml><?xml version="1.0" encoding="utf-8"?>
<comments xmlns="http://schemas.openxmlformats.org/spreadsheetml/2006/main">
  <authors>
    <author>fcorumon</author>
  </authors>
  <commentList>
    <comment ref="G5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comments8.xml><?xml version="1.0" encoding="utf-8"?>
<comments xmlns="http://schemas.openxmlformats.org/spreadsheetml/2006/main">
  <authors>
    <author>fcorumon</author>
  </authors>
  <commentList>
    <comment ref="G5" authorId="0">
      <text>
        <r>
          <rPr>
            <b/>
            <sz val="8"/>
            <rFont val="Tahoma"/>
            <family val="2"/>
          </rPr>
          <t>fcorumon:</t>
        </r>
        <r>
          <rPr>
            <sz val="8"/>
            <rFont val="Tahoma"/>
            <family val="2"/>
          </rPr>
          <t xml:space="preserve">
Desviación típica calculada a partir de los 30 primeros trabajos de la muestra</t>
        </r>
      </text>
    </comment>
  </commentList>
</comments>
</file>

<file path=xl/sharedStrings.xml><?xml version="1.0" encoding="utf-8"?>
<sst xmlns="http://schemas.openxmlformats.org/spreadsheetml/2006/main" count="1523" uniqueCount="443">
  <si>
    <t>SCOPUS</t>
  </si>
  <si>
    <t>Nombres/Producción</t>
  </si>
  <si>
    <t>Impreso</t>
  </si>
  <si>
    <t>TOTAL</t>
  </si>
  <si>
    <t>Universidad Politécnica de Valencia</t>
  </si>
  <si>
    <t>CSIC-UPV Instituto de Tecnología Química ITQ</t>
  </si>
  <si>
    <t>CSIC-UPV Instituto de Biología Molecular y Celular de Plantas Primo Yufera IBMCP</t>
  </si>
  <si>
    <t xml:space="preserve">CSIC-UPV - Instituto de Gestión de la Innovacion y del Conocimiento INGENIO </t>
  </si>
  <si>
    <t>2008</t>
  </si>
  <si>
    <t>2009</t>
  </si>
  <si>
    <t>2010</t>
  </si>
  <si>
    <t>2011</t>
  </si>
  <si>
    <t>Total</t>
  </si>
  <si>
    <t>INSPEC</t>
  </si>
  <si>
    <t>Univ. Politec. De Valencia, Valencia</t>
  </si>
  <si>
    <t>Polytech. Univ. Of Valencia, Valencia</t>
  </si>
  <si>
    <t>Dept. De Sist. Informaticos Y Comput., Univ. Politec. De Valencia, Valencia</t>
  </si>
  <si>
    <t>Inst. De Mat. Multidisciplinar, Univ. Politec. De Valencia, Valencia</t>
  </si>
  <si>
    <t>Inst. Tecnol. De Inf., Univ. Politec. De Valencia, Valencia</t>
  </si>
  <si>
    <t>Polytech. Univ. Of Valencia, Valancia</t>
  </si>
  <si>
    <t>Iteam Res. Inst., Univ. Politec. De Valencia, Valencia</t>
  </si>
  <si>
    <t>Dept. De Comun., Univ. Politec. De Valencia, Valencia</t>
  </si>
  <si>
    <t>Valencia Nanophotonics Technol. Center, Univ. Politec. De Valencia, Valencia</t>
  </si>
  <si>
    <t>Dept. De Ing. Quim. Y Nucl., Univ. Politec. De Valencia, Valencia</t>
  </si>
  <si>
    <t>Inst. Univ. De Mat. Multidisciplinar, Univ. Politec. De Valencia, Valencia</t>
  </si>
  <si>
    <t>Dept. De Ing. Electron., Univ. Politec. De Valencia, Valencia</t>
  </si>
  <si>
    <t>Cmt-Motores Termicos, Univ. Politec. De Valencia, Valencia</t>
  </si>
  <si>
    <t>Dsic, Univ. Politec. De Valencia, Valencia</t>
  </si>
  <si>
    <t>Nanophotonics Technol. Center, Univ. Politec. De Valencia, Valencia</t>
  </si>
  <si>
    <t>Inst. de tecnología química (agrupadas las múltiples variantes)</t>
  </si>
  <si>
    <t>Polytechnical University of Valencia</t>
  </si>
  <si>
    <t>Universitat Politècnica de València</t>
  </si>
  <si>
    <t>Valencia Politechnical University</t>
  </si>
  <si>
    <t>CAB</t>
  </si>
  <si>
    <t>Formato/Año</t>
  </si>
  <si>
    <t>PRESUPUESTO</t>
  </si>
  <si>
    <t>SCIFINDER</t>
  </si>
  <si>
    <t>BBDD/año</t>
  </si>
  <si>
    <t>Univ Politecn Valencia</t>
  </si>
  <si>
    <t>Inst Tecnol Quim</t>
  </si>
  <si>
    <t>IBMCP UPV CSIC, Lab Biotechnol Breeding</t>
  </si>
  <si>
    <t>INGENIO CSIC UPV</t>
  </si>
  <si>
    <t>FSTA</t>
  </si>
  <si>
    <t>Nombre/Producción</t>
  </si>
  <si>
    <t>Universitat Politecnica de Valencia</t>
  </si>
  <si>
    <t>Univ. Politecnica de Valencia</t>
  </si>
  <si>
    <t>Universidad Politecnica de Valencia</t>
  </si>
  <si>
    <t>WOS</t>
  </si>
  <si>
    <t>VARIACIÓN REFERENCIAS</t>
  </si>
  <si>
    <t>VARIACIÓN PRESUPUESTO</t>
  </si>
  <si>
    <t>Electrónico</t>
  </si>
  <si>
    <t>BBDD</t>
  </si>
  <si>
    <t>Total anual</t>
  </si>
  <si>
    <t>Total anual/1000</t>
  </si>
  <si>
    <t>Presupuesto</t>
  </si>
  <si>
    <t>REFERENCIAS TOTALES</t>
  </si>
  <si>
    <t>PDI</t>
  </si>
  <si>
    <t>Profesorado</t>
  </si>
  <si>
    <t>PDI jornada completa</t>
  </si>
  <si>
    <t>PDI jornada parcial</t>
  </si>
  <si>
    <t>Identificador</t>
  </si>
  <si>
    <t>Referencias</t>
  </si>
  <si>
    <t>Texto completo</t>
  </si>
  <si>
    <t>Tipología</t>
  </si>
  <si>
    <t>Article</t>
  </si>
  <si>
    <t>10.1063/1.3552428</t>
  </si>
  <si>
    <t>Conference Paper</t>
  </si>
  <si>
    <t>10.1109/ICALT.2010.45</t>
  </si>
  <si>
    <t>10.1109/CEC.2010.5586408</t>
  </si>
  <si>
    <t>10.1016/j.talanta.2009.12.016</t>
  </si>
  <si>
    <t>10.1016/j.carbpol.2010.04.047</t>
  </si>
  <si>
    <t>Folgado - Mound breakwater</t>
  </si>
  <si>
    <t>Juan - The APP Oracle</t>
  </si>
  <si>
    <t>10.1016/j.geomphys.2010.08.004</t>
  </si>
  <si>
    <t>10.1016/j.colsurfb.2010.05.005</t>
  </si>
  <si>
    <t>10.1016/j.jnoncrysol.2009.06.048</t>
  </si>
  <si>
    <t>Yuste - PangeaMT</t>
  </si>
  <si>
    <t>10.1109/WI-IAT.2010.58</t>
  </si>
  <si>
    <t>10.1088/0967-3334/31/11/N03</t>
  </si>
  <si>
    <t>10.1039/c001955k</t>
  </si>
  <si>
    <t>10.1007/978-3-642-16066-0_11</t>
  </si>
  <si>
    <t>10.1039/c0jm00345j</t>
  </si>
  <si>
    <t>10.1109/NOCS.2010.13</t>
  </si>
  <si>
    <t>10.1007/s11075-009-9359-z</t>
  </si>
  <si>
    <t>10.1017/S0269888910000196</t>
  </si>
  <si>
    <t>10.1016/j.ab.2009.10.013</t>
  </si>
  <si>
    <t>10.1002/pca.1179</t>
  </si>
  <si>
    <t>10.1016/j.physleta.2009.11.041</t>
  </si>
  <si>
    <t>10.1088/0264-9381/27/17/175007</t>
  </si>
  <si>
    <t>10.1142/S0218127410027489</t>
  </si>
  <si>
    <t>10.1016/j.apenergy.2009.10.020</t>
  </si>
  <si>
    <t>10.1109/DSD.2010.42</t>
  </si>
  <si>
    <t>Sanchez-Saez - Confidence</t>
  </si>
  <si>
    <t>Quintero - Methodolgy</t>
  </si>
  <si>
    <t>Ortiz-Martinez - Online</t>
  </si>
  <si>
    <t>10.1007/978-3-642-16178-0_7</t>
  </si>
  <si>
    <t>Perez-Aparicio - Finite</t>
  </si>
  <si>
    <t>10.1364/JON.8.000471</t>
  </si>
  <si>
    <t>10.1063/1.3243924</t>
  </si>
  <si>
    <t>De Garcia-Hernandez - Acceleration</t>
  </si>
  <si>
    <t>10.1016/j.foodchem.2008.05.068</t>
  </si>
  <si>
    <t>10.1109/EAEEIE.2009.5335495</t>
  </si>
  <si>
    <t>10.1364/JON.8.000156</t>
  </si>
  <si>
    <t>10.1016/j.entcs.2009.12.004</t>
  </si>
  <si>
    <t>10.1016/j.amc.2009.04.082</t>
  </si>
  <si>
    <t>10.1109/EAEEIE.2009.5335487</t>
  </si>
  <si>
    <t>10.1016/j.physa.2008.12.008</t>
  </si>
  <si>
    <t>10.1016/j.mejo.2008.07.062</t>
  </si>
  <si>
    <t>10.1016/j.ress.2008.09.006</t>
  </si>
  <si>
    <t>10.1109/IPDPS.2009.5161048</t>
  </si>
  <si>
    <t>10.1016/j.telpol.2009.02.001</t>
  </si>
  <si>
    <t>Silvestre-Planes - Image</t>
  </si>
  <si>
    <t>10.1007/978-3-642-04447-2_113</t>
  </si>
  <si>
    <t>10.1080/00207160802691652</t>
  </si>
  <si>
    <t>Defez - Evolution</t>
  </si>
  <si>
    <t>10.1039/b912134j</t>
  </si>
  <si>
    <t>10.1021/jp907930w</t>
  </si>
  <si>
    <t>10.1109/IECON.2009.5414697</t>
  </si>
  <si>
    <t>10.1021/jo900356c</t>
  </si>
  <si>
    <t>10.1016/j.jfoodeng.2008.12.034</t>
  </si>
  <si>
    <t>Fernandez - Simucapra</t>
  </si>
  <si>
    <t>10.1039/b9pp00063a</t>
  </si>
  <si>
    <t>10.1061/41036(342)304</t>
  </si>
  <si>
    <t>10.1121/1.3126948</t>
  </si>
  <si>
    <t>10.1039/b816698f</t>
  </si>
  <si>
    <t>10.1063/1.3273701</t>
  </si>
  <si>
    <t>Porcentaje</t>
  </si>
  <si>
    <t>Desviación típica</t>
  </si>
  <si>
    <t>Nivel de confianza 95%</t>
  </si>
  <si>
    <t>Precisión</t>
  </si>
  <si>
    <t>Tamaño muestra</t>
  </si>
  <si>
    <t>Media muestral ref/art</t>
  </si>
  <si>
    <t>Intervalo de confianza</t>
  </si>
  <si>
    <t>Error estándar media</t>
  </si>
  <si>
    <t>Intervalo confianza</t>
  </si>
  <si>
    <t>Columna1</t>
  </si>
  <si>
    <t>Valores</t>
  </si>
  <si>
    <t>Datos</t>
  </si>
  <si>
    <t>Media texto completo/referencias</t>
  </si>
  <si>
    <t>Error estándar proporción</t>
  </si>
  <si>
    <t>Referencias hechas por trabajo</t>
  </si>
  <si>
    <t>Referencias suscritas por la biblioteca</t>
  </si>
  <si>
    <t>10.1109/IVS.2008.4621150</t>
  </si>
  <si>
    <t>10.1002/chem.200801657</t>
  </si>
  <si>
    <t>Rovira-Más - Configuration</t>
  </si>
  <si>
    <t>10.1007/978-3-540-87991-6-34</t>
  </si>
  <si>
    <t>Marin - Spectral</t>
  </si>
  <si>
    <t>10.1007/978-3-540-88009-7_14</t>
  </si>
  <si>
    <t>Espert - The use</t>
  </si>
  <si>
    <t>10.1016/j.optcom.2008.07.013</t>
  </si>
  <si>
    <t>10.1039/b807453d</t>
  </si>
  <si>
    <t>10.1063/1.2981089</t>
  </si>
  <si>
    <t>10.1109/EAEEIE.2008.4610166</t>
  </si>
  <si>
    <t>10.1109/ICALT.2008.121</t>
  </si>
  <si>
    <r>
      <t> </t>
    </r>
    <r>
      <rPr>
        <sz val="8"/>
        <color rgb="FF5C5C5C"/>
        <rFont val="Arial Unicode MS"/>
        <family val="2"/>
      </rPr>
      <t>10.2214/AJR.07.3528</t>
    </r>
  </si>
  <si>
    <t>10.1371/journal.pcbi.1000187</t>
  </si>
  <si>
    <t>10.1007/978-3-540-70540-6_183</t>
  </si>
  <si>
    <t>10.1016/j.image.2008.04.016</t>
  </si>
  <si>
    <t>10.1002/spe.858</t>
  </si>
  <si>
    <t>10.1016/j.compstruc.2007.05.010</t>
  </si>
  <si>
    <t>10.1111/j.1364-3703.2008.00474.x</t>
  </si>
  <si>
    <t>10.1117/12.785604</t>
  </si>
  <si>
    <t>10.1039/b718068c</t>
  </si>
  <si>
    <t>10.1007/s10856-007-3282-4</t>
  </si>
  <si>
    <t>10.1007/s11192-007-1867-9</t>
  </si>
  <si>
    <t>Planells - A note</t>
  </si>
  <si>
    <t>10.1088/0031-9155/53/5/018</t>
  </si>
  <si>
    <t>10.1016/j.desal.2007.01.157</t>
  </si>
  <si>
    <t>10.1088/0031-9155/53/4/N01</t>
  </si>
  <si>
    <t>10.1016/j.tsf.2007.05.031</t>
  </si>
  <si>
    <t>10.1109/TNS.2007.910675</t>
  </si>
  <si>
    <t>10.1109/L-CA.2007.16</t>
  </si>
  <si>
    <t>Referencias por trabajo</t>
  </si>
  <si>
    <t>Referencias suscritas</t>
  </si>
  <si>
    <t>REFERENCIAS POR TRABAJO Y SUSCRITAS</t>
  </si>
  <si>
    <t>10.1016/j.entcs.2008.12.037</t>
  </si>
  <si>
    <t>10.1007/978-3-540-85834-8-9</t>
  </si>
  <si>
    <t>10.1109/ICTAI.2008.91</t>
  </si>
  <si>
    <t>10.1109/DAS.2008.54</t>
  </si>
  <si>
    <t>10.1109/SOFTCOM.2008.4669508</t>
  </si>
  <si>
    <t>10.1109/ICTAI.2008.18</t>
  </si>
  <si>
    <t>10.1109/ICTAI.2008.13</t>
  </si>
  <si>
    <t>10.1109/ICTAI.2008.35</t>
  </si>
  <si>
    <t>Pérez-Camps - Short</t>
  </si>
  <si>
    <t>Espinosa - Generic</t>
  </si>
  <si>
    <t>10.1145/1389449.1389463</t>
  </si>
  <si>
    <t>Martínez- ProPID</t>
  </si>
  <si>
    <t>10.1145/1384209.1384219</t>
  </si>
  <si>
    <t>10.1145/1384209.1384217</t>
  </si>
  <si>
    <t>10.1145/1384209.1384216</t>
  </si>
  <si>
    <t>10.3923/jms.2008.715.721</t>
  </si>
  <si>
    <t>Mora - Discovering</t>
  </si>
  <si>
    <t>Agustí-Melchor - Lattice</t>
  </si>
  <si>
    <t>10.1016/j.amc.2008.10.001</t>
  </si>
  <si>
    <t>Bermúdez - Spreadsheet</t>
  </si>
  <si>
    <t>10.1016/j.foodchem.2008.05.006</t>
  </si>
  <si>
    <t>10.1109/MWSYM.2008.4633223</t>
  </si>
  <si>
    <t>10.1109/MWSYM.2008.4633247</t>
  </si>
  <si>
    <t>10.1126/science.1166401</t>
  </si>
  <si>
    <t>10.1063/1.3040317</t>
  </si>
  <si>
    <t>10.1109/MWSYM.2008.4633235</t>
  </si>
  <si>
    <t>10.1109/MWSYM.2008.4633236</t>
  </si>
  <si>
    <t>10.1021/jp807623m</t>
  </si>
  <si>
    <t>10.1021/jp805400u</t>
  </si>
  <si>
    <t>10.1021/ja806903c</t>
  </si>
  <si>
    <t>10.1109/TAP.2008.2005448</t>
  </si>
  <si>
    <t>10.1021/ja803490n</t>
  </si>
  <si>
    <t>10.1016/j.scienta.2008.07.006</t>
  </si>
  <si>
    <t>10.1364/AO.47.006631</t>
  </si>
  <si>
    <t>Lughofer - On-line</t>
  </si>
  <si>
    <t>10.1111/j.1747-1567.2007.00296.x</t>
  </si>
  <si>
    <t>10.1145/1370888.1370897</t>
  </si>
  <si>
    <t>10.1016/j.comnet.2008.08.019</t>
  </si>
  <si>
    <t>10.1007/978-3-540-88313-5-35</t>
  </si>
  <si>
    <t>10.1145/1358628.1358968</t>
  </si>
  <si>
    <t>10.1186/1471-2148-8-284</t>
  </si>
  <si>
    <t>10.1109/TVT.2008.919619</t>
  </si>
  <si>
    <t>10.1007/978-3-540-87877-3-1</t>
  </si>
  <si>
    <t>10.1007/978-3-540-87877-3-36</t>
  </si>
  <si>
    <t>Vega-Jurado - How</t>
  </si>
  <si>
    <t>10.1080/08985620802462231</t>
  </si>
  <si>
    <t>10.1007/978-3-540-89183-3-15</t>
  </si>
  <si>
    <t>10.1021/ja805607m</t>
  </si>
  <si>
    <t>10.1039/b810310k</t>
  </si>
  <si>
    <t>10.1063/1.3025625</t>
  </si>
  <si>
    <t>Miralles - Geometrical</t>
  </si>
  <si>
    <t>10.1109/JSTSP.2008.2005324</t>
  </si>
  <si>
    <t>10.1109/TIE.2008.2004378</t>
  </si>
  <si>
    <t>10.1016/j.cej.2007.10.023</t>
  </si>
  <si>
    <t>10.1002/app.28171</t>
  </si>
  <si>
    <t>10.1002/dac.921</t>
  </si>
  <si>
    <t>10.1017/S0373463308004803</t>
  </si>
  <si>
    <t>Castro Martínez - Knowledge</t>
  </si>
  <si>
    <t>10.3233/978-1-60750-061-2-293</t>
  </si>
  <si>
    <t>10.4108/ICST.MOBIQUITOUS2009.6904</t>
  </si>
  <si>
    <t>10.3233/978-1-60750-061-2-252</t>
  </si>
  <si>
    <t>10.4108/ICST.MOBIQUITOUS2009.6929</t>
  </si>
  <si>
    <t>10.3233/978-1-60750-061-2-301</t>
  </si>
  <si>
    <t>10.1016/j.nbt.2009.09.005</t>
  </si>
  <si>
    <t>10.1109/LEOS.2009.5343249</t>
  </si>
  <si>
    <t>10.1121/1.3257580</t>
  </si>
  <si>
    <t>10.1063/1.3273698</t>
  </si>
  <si>
    <t>10.1002/adsc.201000096</t>
  </si>
  <si>
    <t>10.1002/anie.201001506</t>
  </si>
  <si>
    <t>10.1016/j.watres.2010.05.005</t>
  </si>
  <si>
    <t>10.1016/j.surfcoat.2010.02.070</t>
  </si>
  <si>
    <t>10.1534/genetics.110.115915</t>
  </si>
  <si>
    <t>10.1098/rsta.2010.0083</t>
  </si>
  <si>
    <t>10.1021/ja101014y</t>
  </si>
  <si>
    <t>10.1364/OE.18.014301</t>
  </si>
  <si>
    <t>10.1039/c0cc00031k</t>
  </si>
  <si>
    <t>10.1093/molbev/msq012</t>
  </si>
  <si>
    <t>10.1016/j.jfoodeng.2010.01.026</t>
  </si>
  <si>
    <t>10.1016/j.foodhyd.2009.11.004</t>
  </si>
  <si>
    <t>10.1016/j.jenvman.2009.12.007</t>
  </si>
  <si>
    <t>10.1039/b922534j</t>
  </si>
  <si>
    <t>10.1002/chem.200903127</t>
  </si>
  <si>
    <t>10.1016/j.foodchem.2009.09.036</t>
  </si>
  <si>
    <t>10.1016/j.apcata.2010.01.042</t>
  </si>
  <si>
    <t>10.1021/nl9041017</t>
  </si>
  <si>
    <t>10.1039/b924937k</t>
  </si>
  <si>
    <t>10.1016/j.aca.2010.03.017</t>
  </si>
  <si>
    <t>10.1109/TKDE.2009.154</t>
  </si>
  <si>
    <t>10.1364/OE.18.006156</t>
  </si>
  <si>
    <t>10.1002/adsc.200900747</t>
  </si>
  <si>
    <t>10.1016/j.colsurfb.2010.01.021</t>
  </si>
  <si>
    <t>10.1002/anie.200905160</t>
  </si>
  <si>
    <t>10.1021/la9026656</t>
  </si>
  <si>
    <t>10.1039/b914183a</t>
  </si>
  <si>
    <t>10.1109/TMAG.2009.2033339</t>
  </si>
  <si>
    <t>10.1021/ef900832c</t>
  </si>
  <si>
    <t>10.1587/transfun.E93.A.272</t>
  </si>
  <si>
    <t>10.1016/j.phpro.2010.01.072</t>
  </si>
  <si>
    <t>10.1007/s00216-009-3264-0</t>
  </si>
  <si>
    <t>10.1007/s00216-009-3229-3</t>
  </si>
  <si>
    <t>10.1016/j.phpro.2010.01.020</t>
  </si>
  <si>
    <t>10.1016/j.phpro.2010.01.022</t>
  </si>
  <si>
    <t>10.4028/www.scientific.net/KEM.417-418.421</t>
  </si>
  <si>
    <t>10.1016/j.phpro.2010.01.021</t>
  </si>
  <si>
    <t>Alcaraz - Study</t>
  </si>
  <si>
    <t>10.1145/1891903.1891918</t>
  </si>
  <si>
    <t>Cubero - MICSc</t>
  </si>
  <si>
    <t>10.1007/978-3-642-13321-3_15</t>
  </si>
  <si>
    <t>Gonzalez-Pintor - 3D</t>
  </si>
  <si>
    <t>Granell - Dialogue</t>
  </si>
  <si>
    <t>Montalvo - Agent</t>
  </si>
  <si>
    <t>10.1007/978-3-642-13033-5_23</t>
  </si>
  <si>
    <t>10.1149/1.3407557</t>
  </si>
  <si>
    <t>10.1109/ICCGI.2010.45</t>
  </si>
  <si>
    <t>10.1080/00207540600898049</t>
  </si>
  <si>
    <t>10.1016/j.engstruct.2007.05.023</t>
  </si>
  <si>
    <t>10.1016/j.desal.2007.01.091</t>
  </si>
  <si>
    <t>10.2527/jas.2007-0217</t>
  </si>
  <si>
    <t>10.1080/00343400601142704</t>
  </si>
  <si>
    <t>10.1016/j.micpro.2007.06.002</t>
  </si>
  <si>
    <t>10.1080/11263500701872143</t>
  </si>
  <si>
    <t>10.1142/S0219887808002722</t>
  </si>
  <si>
    <t>10.1016/j.jmaa.2007.07.010</t>
  </si>
  <si>
    <t>10.1016/j.compag.2007.07.007</t>
  </si>
  <si>
    <t>10.1016/j.future.2007.06.008</t>
  </si>
  <si>
    <t>10.1111/j.1468-2435.2008.00439.x</t>
  </si>
  <si>
    <t>10.1162/pres.18.2.97</t>
  </si>
  <si>
    <t>10.1016/j.compag.2008.11.006</t>
  </si>
  <si>
    <t>10.1016/j.jfoodeng.2008.09.034</t>
  </si>
  <si>
    <t>10.1016/j.infsof.2008.09.008</t>
  </si>
  <si>
    <t>10.1016/j.jfoodeng.2008.09.024</t>
  </si>
  <si>
    <t>Jaramillo - UNC</t>
  </si>
  <si>
    <t>10.1680/macr.2008.00058</t>
  </si>
  <si>
    <t>Soria - Use</t>
  </si>
  <si>
    <t>Colección/Año</t>
  </si>
  <si>
    <t>Monografías</t>
  </si>
  <si>
    <t>Revistas</t>
  </si>
  <si>
    <t>e-monografías</t>
  </si>
  <si>
    <t>e-revistas</t>
  </si>
  <si>
    <t>Préstamos</t>
  </si>
  <si>
    <t>Documentos descargados</t>
  </si>
  <si>
    <t>ESTADÍSTICAS REBIUN</t>
  </si>
  <si>
    <t>Ortuño, R. - Extraordinary</t>
  </si>
  <si>
    <t xml:space="preserve">Ballesteros, G.C. - Characterizing and modeling </t>
  </si>
  <si>
    <t>10.1109/LAWP.2012.2183111</t>
  </si>
  <si>
    <t>10.410S/icst.collaboratecom.2011.247111</t>
  </si>
  <si>
    <t>10.1007/978-3-642-24206-9_1</t>
  </si>
  <si>
    <t>10.1016/j.proeng.2011.12.277</t>
  </si>
  <si>
    <t>Guiñón-Pina, V. - Influence of temperature</t>
  </si>
  <si>
    <t>Peña-Haro, S. - Optimal fertilizer</t>
  </si>
  <si>
    <t>Blasco-Tamarit, E. - Study of the effect</t>
  </si>
  <si>
    <t>10.1016/j.sbspro.2011.03.167</t>
  </si>
  <si>
    <t>10.1007/s11227-011-0587-3</t>
  </si>
  <si>
    <t>10.1016/j.livsci.2011.05.014</t>
  </si>
  <si>
    <t>10.1016/j.jcs.2011.08.005</t>
  </si>
  <si>
    <t>10.1016/j.surfcoat.2011.07.039</t>
  </si>
  <si>
    <t>10.1016/j.biortech.2011.07.014</t>
  </si>
  <si>
    <t>10.1007/s10863-011-9378-z</t>
  </si>
  <si>
    <t>Esparza-Peidro, J. - Towards</t>
  </si>
  <si>
    <t>10.3390/en4081148</t>
  </si>
  <si>
    <t>10.1109/RADIOELEK.2011.5936447</t>
  </si>
  <si>
    <t>10.1007/978-3-642-21257-4_68</t>
  </si>
  <si>
    <t>10.1007/978-3-642-22327-3_31</t>
  </si>
  <si>
    <t>10.2166/wst.2011.478</t>
  </si>
  <si>
    <t>10.1117/12.876136</t>
  </si>
  <si>
    <t>10.1080/19476330903503361</t>
  </si>
  <si>
    <t>10.1016/j.cep.2011.02.010</t>
  </si>
  <si>
    <t>10.1039/c0em00451k</t>
  </si>
  <si>
    <t>10.1109/ICCE.2011.5722556</t>
  </si>
  <si>
    <t>10.1007/978-3-642-17796-5_12</t>
  </si>
  <si>
    <t>10.1016/j.renene.2010.08.008</t>
  </si>
  <si>
    <t>Perez-Vidal, C. - Short communication</t>
  </si>
  <si>
    <t>REFERENCIAS SUSCRITAS</t>
  </si>
  <si>
    <t>Variable</t>
  </si>
  <si>
    <t>Libros impresos-Préstamos</t>
  </si>
  <si>
    <t>Presupuesto-Producción</t>
  </si>
  <si>
    <t>e-revistas-Descargas</t>
  </si>
  <si>
    <t>Producción-Descargas</t>
  </si>
  <si>
    <t>Presupuesto electrónico-Descargas</t>
  </si>
  <si>
    <t>ICYT</t>
  </si>
  <si>
    <t>Uni* Pol* Val*</t>
  </si>
  <si>
    <t>2004</t>
  </si>
  <si>
    <t>2005</t>
  </si>
  <si>
    <t>2006</t>
  </si>
  <si>
    <t>2007</t>
  </si>
  <si>
    <t>VARIACIÓN ESTADÍSTICAS REBIUN</t>
  </si>
  <si>
    <t>UPV</t>
  </si>
  <si>
    <t>2001</t>
  </si>
  <si>
    <t>2002</t>
  </si>
  <si>
    <t>2003</t>
  </si>
  <si>
    <t>-</t>
  </si>
  <si>
    <t>BBDD-Descargas</t>
  </si>
  <si>
    <t>Presupuesto electrónico-Producción</t>
  </si>
  <si>
    <t xml:space="preserve">Coeficiente de correlación (Pearson) </t>
  </si>
  <si>
    <t>PRESUPUESTO PROMEDIO REBIUN</t>
  </si>
  <si>
    <t>PDI PROMEDIO REBIUN</t>
  </si>
  <si>
    <t>PDI UPV</t>
  </si>
  <si>
    <t>ESTADÍSTICAS REBIUN UPV</t>
  </si>
  <si>
    <t>ESTADÍSTICAS, PROMEDIO REBIUN</t>
  </si>
  <si>
    <t>Monografías UPV</t>
  </si>
  <si>
    <t>Monografías REBIUN</t>
  </si>
  <si>
    <t>Revistas REBIUN</t>
  </si>
  <si>
    <t>e-monografías REBIUN</t>
  </si>
  <si>
    <t>e-revistas REBIUN</t>
  </si>
  <si>
    <t>BBDD REBIUN</t>
  </si>
  <si>
    <t>Préstamos REBIUN</t>
  </si>
  <si>
    <t>Documentos descargados REBIUN</t>
  </si>
  <si>
    <t>Revistas UPV</t>
  </si>
  <si>
    <t>e-monografías UPV</t>
  </si>
  <si>
    <t>e-revistas UPV</t>
  </si>
  <si>
    <t>BBDD UPV</t>
  </si>
  <si>
    <t>Préstamos UPV</t>
  </si>
  <si>
    <t>Documentos descargados UPV</t>
  </si>
  <si>
    <t>Significación</t>
  </si>
  <si>
    <t>VARIACIÓN ESTADÍSTICAS REBIUN UPV</t>
  </si>
  <si>
    <t>Presupuesto impreso-Préstamos</t>
  </si>
  <si>
    <t>Productividad</t>
  </si>
  <si>
    <t>PRODUCTIVIDAD</t>
  </si>
  <si>
    <t>Descargas/Presupuesto elect.</t>
  </si>
  <si>
    <t>Presupuesto-Productividad</t>
  </si>
  <si>
    <t>Tabla coef Pearson (0,05)</t>
  </si>
  <si>
    <t>Presupuesto electrónico-Productividad</t>
  </si>
  <si>
    <t>2012</t>
  </si>
  <si>
    <t>Coef. Pearson 2008-2012</t>
  </si>
  <si>
    <t>Coef. Pearson 2001-2012</t>
  </si>
  <si>
    <t>Zr</t>
  </si>
  <si>
    <t>Inferior</t>
  </si>
  <si>
    <t>Superior</t>
  </si>
  <si>
    <t>Intervalo confianza Pearson poblacional</t>
  </si>
  <si>
    <t>CSIC-UPV Instituto de Instrumentación para Imagen Molecular I3M</t>
  </si>
  <si>
    <t>Productividad-Descargas</t>
  </si>
  <si>
    <t>10.4995/wrs.2012.1152</t>
  </si>
  <si>
    <t>Climent, L. - Robustness</t>
  </si>
  <si>
    <t>10.3390/bios2030291</t>
  </si>
  <si>
    <t>10.1021/ci300335m</t>
  </si>
  <si>
    <t>10.1016/j.jcat.2012.04.015</t>
  </si>
  <si>
    <t>10.4271/2012-01-1104</t>
  </si>
  <si>
    <t>10.1007/978-3-642-31522-0_45</t>
  </si>
  <si>
    <t>10.1016/j.jmaa.2011.09.069</t>
  </si>
  <si>
    <t>10.1007/978-3-642-32759-9_5</t>
  </si>
  <si>
    <t>10.1016/j.cattod.2011.03.056</t>
  </si>
  <si>
    <t>10.1007/978-3-642-33765-9_57</t>
  </si>
  <si>
    <t>10.1111/j.1745-459X.2012.00397.x</t>
  </si>
  <si>
    <t>10.1016/j.apcatb.2012.04.007</t>
  </si>
  <si>
    <t>10.1089/dia.2012.0145</t>
  </si>
  <si>
    <t>Cervigon, R. - Predictive</t>
  </si>
  <si>
    <t>10.1109/FPL.2012.6339195</t>
  </si>
  <si>
    <t>10.1117/12.2001296</t>
  </si>
  <si>
    <t>10.3390/s120404237</t>
  </si>
  <si>
    <t>Leskovar, D.I. - Crop</t>
  </si>
  <si>
    <t>10.1007/s11105-012-0427-5</t>
  </si>
  <si>
    <t>10.1109/JPHOT.2012.2223205</t>
  </si>
  <si>
    <t>10.4271/2012-01-0456</t>
  </si>
  <si>
    <t>García, A. - New</t>
  </si>
  <si>
    <t>10.1089/dia.2011.0138</t>
  </si>
  <si>
    <t>10.1016/j.jfoodeng.2011.07.035</t>
  </si>
  <si>
    <t>10.1364/OL.37.002379</t>
  </si>
  <si>
    <t>10.1080/09654313.2012.650906</t>
  </si>
  <si>
    <t>10.1017/S0967199411000104</t>
  </si>
  <si>
    <t>10.1016/j.amc.2012.08.079</t>
  </si>
  <si>
    <t>10.1109/LCOMM.2012.040912.120423</t>
  </si>
  <si>
    <t>SCOPUS/PDI</t>
  </si>
  <si>
    <t>Coef. Spearman 2001-2012</t>
  </si>
  <si>
    <t>Existe correlación</t>
  </si>
  <si>
    <t>NO existe correlación</t>
  </si>
  <si>
    <t>Presupuesto electrónico</t>
  </si>
  <si>
    <t>Presupuesto impreso-Productividad</t>
  </si>
  <si>
    <t>Tamaño muestra Pearson: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</si>
</sst>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77" formatCode="0.00"/>
    <numFmt numFmtId="178" formatCode="#,##0.00"/>
    <numFmt numFmtId="179" formatCode="@"/>
    <numFmt numFmtId="180" formatCode="#,##0"/>
    <numFmt numFmtId="181" formatCode="0.0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5C5C5C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theme="10"/>
      <name val="Calibri"/>
      <family val="2"/>
      <scheme val="minor"/>
    </font>
    <font>
      <sz val="8.25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+mn-cs"/>
      <family val="2"/>
    </font>
    <font>
      <b/>
      <sz val="18"/>
      <color rgb="FF000000"/>
      <name val="+mn-cs"/>
      <family val="2"/>
    </font>
    <font>
      <b/>
      <sz val="14"/>
      <color rgb="FF000000"/>
      <name val="+mn-cs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theme="4" tint="0.39998000860214233"/>
      </left>
      <right/>
      <top style="double">
        <color theme="4"/>
      </top>
      <bottom style="thin">
        <color theme="4" tint="0.39998000860214233"/>
      </bottom>
    </border>
    <border>
      <left/>
      <right/>
      <top style="double">
        <color theme="4"/>
      </top>
      <bottom style="thin">
        <color theme="4" tint="0.39998000860214233"/>
      </bottom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/>
      <bottom style="thin">
        <color theme="6" tint="0.39998000860214233"/>
      </bottom>
    </border>
    <border>
      <left/>
      <right/>
      <top/>
      <bottom style="thin">
        <color theme="6" tint="0.39998000860214233"/>
      </bottom>
    </border>
    <border>
      <left style="thin">
        <color theme="6" tint="0.39998000860214233"/>
      </left>
      <right/>
      <top style="double">
        <color theme="6"/>
      </top>
      <bottom style="thin">
        <color theme="6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/>
      <top/>
      <bottom/>
    </border>
    <border>
      <left/>
      <right style="thin">
        <color theme="4" tint="0.39998000860214233"/>
      </right>
      <top/>
      <bottom/>
    </border>
    <border>
      <left style="thin">
        <color theme="5" tint="0.39998000860214233"/>
      </left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 style="thin">
        <color theme="5" tint="0.39998000860214233"/>
      </right>
      <top/>
      <bottom style="thin">
        <color theme="5" tint="0.39998000860214233"/>
      </bottom>
    </border>
    <border>
      <left style="thin">
        <color theme="5" tint="0.39998000860214233"/>
      </left>
      <right/>
      <top/>
      <bottom/>
    </border>
    <border>
      <left style="thin">
        <color theme="5" tint="0.39998000860214233"/>
      </left>
      <right/>
      <top style="double">
        <color theme="5"/>
      </top>
      <bottom style="thin">
        <color theme="5" tint="0.39998000860214233"/>
      </bottom>
    </border>
    <border>
      <left/>
      <right/>
      <top style="double">
        <color theme="5"/>
      </top>
      <bottom style="thin">
        <color theme="5" tint="0.39998000860214233"/>
      </bottom>
    </border>
    <border>
      <left/>
      <right style="thin">
        <color theme="5" tint="0.39998000860214233"/>
      </right>
      <top style="double">
        <color theme="5"/>
      </top>
      <bottom style="thin">
        <color theme="5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/>
      <top/>
      <bottom style="thin">
        <color theme="8" tint="0.39998000860214233"/>
      </bottom>
    </border>
    <border>
      <left/>
      <right/>
      <top/>
      <bottom style="thin">
        <color theme="8" tint="0.39998000860214233"/>
      </bottom>
    </border>
    <border>
      <left/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/>
      <top/>
      <bottom/>
    </border>
    <border>
      <left style="thin">
        <color theme="8" tint="0.39998000860214233"/>
      </left>
      <right/>
      <top style="double">
        <color theme="8"/>
      </top>
      <bottom style="thin">
        <color theme="8" tint="0.39998000860214233"/>
      </bottom>
    </border>
    <border>
      <left/>
      <right style="thin">
        <color theme="6" tint="0.39998000860214233"/>
      </right>
      <top/>
      <bottom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9" tint="0.39998000860214233"/>
      </bottom>
    </border>
    <border>
      <left/>
      <right/>
      <top style="thin">
        <color theme="4" tint="0.39998000860214233"/>
      </top>
      <bottom style="thin">
        <color theme="9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/>
      <right style="thin">
        <color theme="9" tint="0.39998000860214233"/>
      </right>
      <top/>
      <bottom style="thin">
        <color theme="9" tint="0.39998000860214233"/>
      </bottom>
    </border>
    <border>
      <left style="thin">
        <color theme="9" tint="0.39998000860214233"/>
      </left>
      <right/>
      <top/>
      <bottom/>
    </border>
    <border>
      <left style="thin">
        <color theme="9" tint="0.39998000860214233"/>
      </left>
      <right/>
      <top style="thin">
        <color theme="7" tint="0.39998000860214233"/>
      </top>
      <bottom style="thin">
        <color theme="7" tint="0.39998000860214233"/>
      </bottom>
    </border>
    <border>
      <left/>
      <right/>
      <top style="thin">
        <color theme="7" tint="0.39998000860214233"/>
      </top>
      <bottom style="thin">
        <color theme="7" tint="0.39998000860214233"/>
      </bottom>
    </border>
    <border>
      <left/>
      <right style="thin">
        <color theme="7" tint="0.39998000860214233"/>
      </right>
      <top style="thin">
        <color theme="7" tint="0.39998000860214233"/>
      </top>
      <bottom style="thin">
        <color theme="7" tint="0.39998000860214233"/>
      </bottom>
    </border>
    <border>
      <left style="thin">
        <color theme="9" tint="0.39998000860214233"/>
      </left>
      <right/>
      <top/>
      <bottom style="thin">
        <color theme="7" tint="0.39998000860214233"/>
      </bottom>
    </border>
    <border>
      <left/>
      <right/>
      <top/>
      <bottom style="thin">
        <color theme="7" tint="0.39998000860214233"/>
      </bottom>
    </border>
    <border>
      <left/>
      <right style="thin">
        <color theme="7" tint="0.39998000860214233"/>
      </right>
      <top/>
      <bottom style="thin">
        <color theme="7" tint="0.39998000860214233"/>
      </bottom>
    </border>
    <border>
      <left/>
      <right style="thin">
        <color theme="7" tint="0.39998000860214233"/>
      </right>
      <top/>
      <bottom/>
    </border>
    <border>
      <left style="thin">
        <color theme="9" tint="0.39998000860214233"/>
      </left>
      <right/>
      <top style="double">
        <color theme="7"/>
      </top>
      <bottom style="thin">
        <color theme="7" tint="0.39998000860214233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/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 style="thin">
        <color theme="9" tint="0.39998000860214233"/>
      </right>
      <top/>
      <bottom/>
    </border>
    <border>
      <left style="thin">
        <color theme="9" tint="0.39998000860214233"/>
      </left>
      <right/>
      <top style="double">
        <color theme="9"/>
      </top>
      <bottom style="thin">
        <color theme="9" tint="0.39998000860214233"/>
      </bottom>
    </border>
    <border>
      <left/>
      <right/>
      <top style="double">
        <color theme="9"/>
      </top>
      <bottom style="thin">
        <color theme="9" tint="0.3999800086021423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>
        <color theme="8"/>
      </top>
      <bottom style="thin">
        <color theme="8" tint="0.39998000860214233"/>
      </bottom>
    </border>
    <border>
      <left/>
      <right/>
      <top style="double">
        <color theme="6"/>
      </top>
      <bottom style="thin">
        <color theme="6" tint="0.39998000860214233"/>
      </bottom>
    </border>
    <border>
      <left/>
      <right/>
      <top style="double">
        <color theme="7"/>
      </top>
      <bottom style="thin">
        <color theme="7" tint="0.39998000860214233"/>
      </bottom>
    </border>
    <border>
      <left style="thin">
        <color theme="6" tint="0.39998000860214233"/>
      </left>
      <right/>
      <top/>
      <bottom/>
    </border>
    <border>
      <left style="thin">
        <color theme="9" tint="0.39998000860214233"/>
      </left>
      <right/>
      <top style="double">
        <color theme="9"/>
      </top>
      <bottom/>
    </border>
    <border>
      <left/>
      <right/>
      <top style="double">
        <color theme="9"/>
      </top>
      <bottom/>
    </border>
    <border>
      <left/>
      <right style="thin">
        <color theme="4" tint="0.39998000860214233"/>
      </right>
      <top style="thin">
        <color theme="4" tint="0.39998000860214233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double"/>
      <top style="double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3" fontId="0" fillId="0" borderId="0" xfId="20" applyNumberFormat="1" applyFont="1"/>
    <xf numFmtId="0" fontId="4" fillId="0" borderId="1" xfId="0" applyFont="1" applyBorder="1"/>
    <xf numFmtId="3" fontId="4" fillId="0" borderId="2" xfId="0" applyNumberFormat="1" applyFont="1" applyBorder="1"/>
    <xf numFmtId="0" fontId="3" fillId="4" borderId="3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5" borderId="6" xfId="0" applyFont="1" applyFill="1" applyBorder="1"/>
    <xf numFmtId="10" fontId="0" fillId="5" borderId="7" xfId="20" applyNumberFormat="1" applyFont="1" applyFill="1" applyBorder="1"/>
    <xf numFmtId="0" fontId="4" fillId="0" borderId="8" xfId="0" applyFont="1" applyBorder="1"/>
    <xf numFmtId="0" fontId="3" fillId="6" borderId="9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7" borderId="12" xfId="0" applyFont="1" applyFill="1" applyBorder="1"/>
    <xf numFmtId="3" fontId="0" fillId="7" borderId="13" xfId="0" applyNumberFormat="1" applyFont="1" applyFill="1" applyBorder="1"/>
    <xf numFmtId="3" fontId="0" fillId="7" borderId="14" xfId="0" applyNumberFormat="1" applyFont="1" applyFill="1" applyBorder="1"/>
    <xf numFmtId="0" fontId="0" fillId="0" borderId="12" xfId="0" applyFont="1" applyBorder="1"/>
    <xf numFmtId="3" fontId="0" fillId="0" borderId="13" xfId="0" applyNumberFormat="1" applyFont="1" applyBorder="1"/>
    <xf numFmtId="0" fontId="0" fillId="7" borderId="15" xfId="0" applyFont="1" applyFill="1" applyBorder="1"/>
    <xf numFmtId="10" fontId="0" fillId="7" borderId="13" xfId="20" applyNumberFormat="1" applyFont="1" applyFill="1" applyBorder="1"/>
    <xf numFmtId="10" fontId="0" fillId="7" borderId="14" xfId="20" applyNumberFormat="1" applyFont="1" applyFill="1" applyBorder="1"/>
    <xf numFmtId="10" fontId="0" fillId="0" borderId="13" xfId="20" applyNumberFormat="1" applyFont="1" applyBorder="1"/>
    <xf numFmtId="10" fontId="0" fillId="0" borderId="14" xfId="20" applyNumberFormat="1" applyFont="1" applyBorder="1"/>
    <xf numFmtId="10" fontId="0" fillId="7" borderId="13" xfId="20" applyNumberFormat="1" applyFont="1" applyFill="1" applyBorder="1" applyAlignment="1">
      <alignment horizontal="right"/>
    </xf>
    <xf numFmtId="10" fontId="0" fillId="7" borderId="14" xfId="20" applyNumberFormat="1" applyFont="1" applyFill="1" applyBorder="1" applyAlignment="1">
      <alignment horizontal="right"/>
    </xf>
    <xf numFmtId="10" fontId="0" fillId="0" borderId="0" xfId="20" applyNumberFormat="1" applyFont="1" applyBorder="1"/>
    <xf numFmtId="10" fontId="0" fillId="0" borderId="16" xfId="20" applyNumberFormat="1" applyFont="1" applyBorder="1"/>
    <xf numFmtId="3" fontId="0" fillId="0" borderId="0" xfId="0" applyNumberFormat="1" applyFont="1" applyBorder="1"/>
    <xf numFmtId="0" fontId="3" fillId="8" borderId="17" xfId="0" applyFont="1" applyFill="1" applyBorder="1"/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0" fillId="9" borderId="20" xfId="0" applyFont="1" applyFill="1" applyBorder="1"/>
    <xf numFmtId="3" fontId="0" fillId="9" borderId="21" xfId="0" applyNumberFormat="1" applyFont="1" applyFill="1" applyBorder="1"/>
    <xf numFmtId="3" fontId="0" fillId="9" borderId="22" xfId="0" applyNumberFormat="1" applyFont="1" applyFill="1" applyBorder="1"/>
    <xf numFmtId="0" fontId="0" fillId="0" borderId="20" xfId="0" applyFont="1" applyBorder="1"/>
    <xf numFmtId="3" fontId="0" fillId="0" borderId="21" xfId="0" applyNumberFormat="1" applyFont="1" applyBorder="1"/>
    <xf numFmtId="0" fontId="0" fillId="0" borderId="23" xfId="0" applyFont="1" applyBorder="1"/>
    <xf numFmtId="0" fontId="4" fillId="0" borderId="24" xfId="0" applyFont="1" applyBorder="1"/>
    <xf numFmtId="3" fontId="4" fillId="0" borderId="25" xfId="0" applyNumberFormat="1" applyFont="1" applyBorder="1"/>
    <xf numFmtId="3" fontId="4" fillId="0" borderId="26" xfId="0" applyNumberFormat="1" applyFont="1" applyBorder="1"/>
    <xf numFmtId="0" fontId="3" fillId="10" borderId="27" xfId="0" applyFont="1" applyFill="1" applyBorder="1"/>
    <xf numFmtId="0" fontId="3" fillId="10" borderId="28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0" fillId="11" borderId="30" xfId="0" applyFont="1" applyFill="1" applyBorder="1"/>
    <xf numFmtId="3" fontId="0" fillId="11" borderId="31" xfId="0" applyNumberFormat="1" applyFont="1" applyFill="1" applyBorder="1"/>
    <xf numFmtId="3" fontId="0" fillId="11" borderId="32" xfId="0" applyNumberFormat="1" applyFont="1" applyFill="1" applyBorder="1"/>
    <xf numFmtId="0" fontId="0" fillId="0" borderId="30" xfId="0" applyFont="1" applyBorder="1"/>
    <xf numFmtId="3" fontId="0" fillId="0" borderId="31" xfId="0" applyNumberFormat="1" applyFont="1" applyBorder="1"/>
    <xf numFmtId="0" fontId="0" fillId="0" borderId="33" xfId="0" applyFont="1" applyBorder="1"/>
    <xf numFmtId="0" fontId="4" fillId="0" borderId="34" xfId="0" applyFont="1" applyBorder="1"/>
    <xf numFmtId="3" fontId="0" fillId="5" borderId="0" xfId="0" applyNumberFormat="1" applyFont="1" applyFill="1" applyBorder="1"/>
    <xf numFmtId="3" fontId="0" fillId="5" borderId="35" xfId="0" applyNumberFormat="1" applyFont="1" applyFill="1" applyBorder="1"/>
    <xf numFmtId="0" fontId="3" fillId="12" borderId="36" xfId="0" applyFont="1" applyFill="1" applyBorder="1"/>
    <xf numFmtId="0" fontId="3" fillId="12" borderId="37" xfId="0" applyFont="1" applyFill="1" applyBorder="1" applyAlignment="1">
      <alignment horizontal="center"/>
    </xf>
    <xf numFmtId="0" fontId="3" fillId="12" borderId="38" xfId="0" applyFont="1" applyFill="1" applyBorder="1" applyAlignment="1">
      <alignment horizontal="center"/>
    </xf>
    <xf numFmtId="0" fontId="0" fillId="13" borderId="39" xfId="0" applyFont="1" applyFill="1" applyBorder="1"/>
    <xf numFmtId="3" fontId="0" fillId="13" borderId="40" xfId="0" applyNumberFormat="1" applyFont="1" applyFill="1" applyBorder="1"/>
    <xf numFmtId="3" fontId="0" fillId="13" borderId="41" xfId="0" applyNumberFormat="1" applyFont="1" applyFill="1" applyBorder="1"/>
    <xf numFmtId="3" fontId="0" fillId="0" borderId="40" xfId="0" applyNumberFormat="1" applyFont="1" applyFill="1" applyBorder="1"/>
    <xf numFmtId="0" fontId="0" fillId="0" borderId="42" xfId="0" applyFont="1" applyFill="1" applyBorder="1"/>
    <xf numFmtId="3" fontId="0" fillId="0" borderId="0" xfId="0" applyNumberFormat="1" applyFont="1" applyFill="1" applyBorder="1"/>
    <xf numFmtId="0" fontId="3" fillId="14" borderId="43" xfId="0" applyFont="1" applyFill="1" applyBorder="1"/>
    <xf numFmtId="0" fontId="3" fillId="14" borderId="44" xfId="0" applyFont="1" applyFill="1" applyBorder="1" applyAlignment="1">
      <alignment horizontal="center"/>
    </xf>
    <xf numFmtId="0" fontId="3" fillId="14" borderId="45" xfId="0" applyFont="1" applyFill="1" applyBorder="1" applyAlignment="1">
      <alignment horizontal="center"/>
    </xf>
    <xf numFmtId="0" fontId="0" fillId="15" borderId="46" xfId="0" applyFont="1" applyFill="1" applyBorder="1"/>
    <xf numFmtId="0" fontId="0" fillId="15" borderId="47" xfId="0" applyFont="1" applyFill="1" applyBorder="1"/>
    <xf numFmtId="0" fontId="0" fillId="15" borderId="48" xfId="0" applyNumberFormat="1" applyFont="1" applyFill="1" applyBorder="1"/>
    <xf numFmtId="0" fontId="0" fillId="0" borderId="46" xfId="0" applyFont="1" applyFill="1" applyBorder="1"/>
    <xf numFmtId="0" fontId="0" fillId="0" borderId="47" xfId="0" applyFont="1" applyBorder="1"/>
    <xf numFmtId="0" fontId="0" fillId="0" borderId="48" xfId="0" applyNumberFormat="1" applyFont="1" applyBorder="1"/>
    <xf numFmtId="0" fontId="0" fillId="15" borderId="42" xfId="0" applyFont="1" applyFill="1" applyBorder="1"/>
    <xf numFmtId="0" fontId="0" fillId="15" borderId="0" xfId="0" applyFont="1" applyFill="1" applyBorder="1"/>
    <xf numFmtId="0" fontId="0" fillId="15" borderId="49" xfId="0" applyNumberFormat="1" applyFont="1" applyFill="1" applyBorder="1"/>
    <xf numFmtId="0" fontId="4" fillId="0" borderId="50" xfId="0" applyFont="1" applyFill="1" applyBorder="1"/>
    <xf numFmtId="0" fontId="0" fillId="0" borderId="0" xfId="0" applyFont="1" applyFill="1" applyBorder="1"/>
    <xf numFmtId="3" fontId="4" fillId="0" borderId="0" xfId="0" applyNumberFormat="1" applyFont="1" applyBorder="1"/>
    <xf numFmtId="0" fontId="3" fillId="12" borderId="51" xfId="0" applyFont="1" applyFill="1" applyBorder="1"/>
    <xf numFmtId="0" fontId="3" fillId="12" borderId="52" xfId="0" applyFont="1" applyFill="1" applyBorder="1" applyAlignment="1">
      <alignment horizontal="center"/>
    </xf>
    <xf numFmtId="0" fontId="3" fillId="12" borderId="53" xfId="0" applyFont="1" applyFill="1" applyBorder="1" applyAlignment="1">
      <alignment horizontal="center"/>
    </xf>
    <xf numFmtId="3" fontId="4" fillId="13" borderId="40" xfId="0" applyNumberFormat="1" applyFont="1" applyFill="1" applyBorder="1"/>
    <xf numFmtId="3" fontId="4" fillId="13" borderId="41" xfId="0" applyNumberFormat="1" applyFont="1" applyFill="1" applyBorder="1"/>
    <xf numFmtId="0" fontId="0" fillId="0" borderId="42" xfId="0" applyFont="1" applyBorder="1"/>
    <xf numFmtId="3" fontId="4" fillId="0" borderId="54" xfId="0" applyNumberFormat="1" applyFont="1" applyBorder="1"/>
    <xf numFmtId="0" fontId="4" fillId="0" borderId="55" xfId="0" applyFont="1" applyBorder="1"/>
    <xf numFmtId="3" fontId="4" fillId="0" borderId="56" xfId="0" applyNumberFormat="1" applyFont="1" applyBorder="1"/>
    <xf numFmtId="2" fontId="0" fillId="0" borderId="0" xfId="0" applyNumberFormat="1"/>
    <xf numFmtId="0" fontId="5" fillId="0" borderId="0" xfId="0" applyFont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0" fillId="16" borderId="5" xfId="0" applyFont="1" applyFill="1" applyBorder="1"/>
    <xf numFmtId="164" fontId="0" fillId="0" borderId="0" xfId="0" applyNumberFormat="1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164" fontId="0" fillId="0" borderId="60" xfId="0" applyNumberFormat="1" applyBorder="1"/>
    <xf numFmtId="164" fontId="0" fillId="0" borderId="61" xfId="0" applyNumberFormat="1" applyBorder="1"/>
    <xf numFmtId="0" fontId="0" fillId="16" borderId="62" xfId="0" applyFont="1" applyFill="1" applyBorder="1"/>
    <xf numFmtId="0" fontId="0" fillId="0" borderId="63" xfId="0" applyBorder="1" applyAlignment="1">
      <alignment horizontal="center"/>
    </xf>
    <xf numFmtId="0" fontId="0" fillId="3" borderId="64" xfId="22" applyBorder="1"/>
    <xf numFmtId="0" fontId="0" fillId="2" borderId="65" xfId="21" applyBorder="1"/>
    <xf numFmtId="2" fontId="0" fillId="3" borderId="66" xfId="22" applyNumberFormat="1" applyBorder="1" applyAlignment="1">
      <alignment horizontal="center"/>
    </xf>
    <xf numFmtId="2" fontId="0" fillId="3" borderId="67" xfId="22" applyNumberFormat="1" applyBorder="1" applyAlignment="1">
      <alignment horizontal="center"/>
    </xf>
    <xf numFmtId="10" fontId="0" fillId="2" borderId="68" xfId="21" applyNumberFormat="1" applyBorder="1" applyAlignment="1">
      <alignment horizontal="center"/>
    </xf>
    <xf numFmtId="10" fontId="0" fillId="2" borderId="69" xfId="21" applyNumberFormat="1" applyBorder="1" applyAlignment="1">
      <alignment horizontal="center"/>
    </xf>
    <xf numFmtId="10" fontId="0" fillId="2" borderId="70" xfId="21" applyNumberFormat="1" applyBorder="1" applyAlignment="1">
      <alignment horizontal="center"/>
    </xf>
    <xf numFmtId="10" fontId="0" fillId="2" borderId="71" xfId="21" applyNumberFormat="1" applyBorder="1" applyAlignment="1">
      <alignment horizontal="center"/>
    </xf>
    <xf numFmtId="0" fontId="0" fillId="0" borderId="0" xfId="0"/>
    <xf numFmtId="0" fontId="0" fillId="0" borderId="0" xfId="0"/>
    <xf numFmtId="3" fontId="4" fillId="13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0" fillId="7" borderId="9" xfId="23" applyFont="1" applyFill="1" applyBorder="1"/>
    <xf numFmtId="0" fontId="10" fillId="0" borderId="0" xfId="23"/>
    <xf numFmtId="0" fontId="11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7" borderId="13" xfId="0" applyFont="1" applyFill="1" applyBorder="1"/>
    <xf numFmtId="0" fontId="0" fillId="0" borderId="13" xfId="0" applyFont="1" applyBorder="1"/>
    <xf numFmtId="0" fontId="0" fillId="0" borderId="0" xfId="0" applyFont="1" applyBorder="1"/>
    <xf numFmtId="0" fontId="3" fillId="6" borderId="13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12" xfId="0" applyFont="1" applyBorder="1"/>
    <xf numFmtId="10" fontId="4" fillId="0" borderId="13" xfId="0" applyNumberFormat="1" applyFont="1" applyBorder="1"/>
    <xf numFmtId="0" fontId="0" fillId="0" borderId="0" xfId="0" applyFill="1" applyBorder="1"/>
    <xf numFmtId="0" fontId="0" fillId="0" borderId="0" xfId="0"/>
    <xf numFmtId="0" fontId="4" fillId="0" borderId="2" xfId="0" applyFont="1" applyBorder="1"/>
    <xf numFmtId="0" fontId="0" fillId="9" borderId="21" xfId="0" applyFont="1" applyFill="1" applyBorder="1"/>
    <xf numFmtId="0" fontId="0" fillId="0" borderId="21" xfId="0" applyFont="1" applyBorder="1"/>
    <xf numFmtId="0" fontId="4" fillId="0" borderId="25" xfId="0" applyFont="1" applyBorder="1"/>
    <xf numFmtId="0" fontId="0" fillId="11" borderId="31" xfId="0" applyFont="1" applyFill="1" applyBorder="1"/>
    <xf numFmtId="0" fontId="0" fillId="0" borderId="31" xfId="0" applyFont="1" applyBorder="1"/>
    <xf numFmtId="0" fontId="4" fillId="0" borderId="72" xfId="0" applyFont="1" applyBorder="1"/>
    <xf numFmtId="0" fontId="0" fillId="5" borderId="0" xfId="0" applyFont="1" applyFill="1" applyBorder="1"/>
    <xf numFmtId="0" fontId="4" fillId="0" borderId="73" xfId="0" applyFont="1" applyBorder="1"/>
    <xf numFmtId="0" fontId="0" fillId="13" borderId="40" xfId="0" applyFont="1" applyFill="1" applyBorder="1"/>
    <xf numFmtId="0" fontId="0" fillId="0" borderId="40" xfId="0" applyFont="1" applyFill="1" applyBorder="1"/>
    <xf numFmtId="0" fontId="0" fillId="0" borderId="47" xfId="0" applyFont="1" applyFill="1" applyBorder="1"/>
    <xf numFmtId="0" fontId="4" fillId="0" borderId="74" xfId="0" applyFont="1" applyFill="1" applyBorder="1"/>
    <xf numFmtId="0" fontId="0" fillId="0" borderId="0" xfId="0" applyFont="1" applyFill="1"/>
    <xf numFmtId="0" fontId="4" fillId="0" borderId="0" xfId="0" applyFont="1" applyBorder="1"/>
    <xf numFmtId="10" fontId="4" fillId="0" borderId="0" xfId="20" applyNumberFormat="1" applyFont="1" applyBorder="1"/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6" xfId="0" applyBorder="1"/>
    <xf numFmtId="10" fontId="4" fillId="0" borderId="8" xfId="20" applyNumberFormat="1" applyFont="1" applyBorder="1"/>
    <xf numFmtId="3" fontId="4" fillId="0" borderId="55" xfId="0" applyNumberFormat="1" applyFont="1" applyBorder="1"/>
    <xf numFmtId="0" fontId="0" fillId="0" borderId="0" xfId="0" applyAlignment="1">
      <alignment horizontal="center" wrapText="1"/>
    </xf>
    <xf numFmtId="10" fontId="0" fillId="0" borderId="0" xfId="20" applyNumberFormat="1" applyFont="1" applyAlignment="1">
      <alignment wrapText="1"/>
    </xf>
    <xf numFmtId="0" fontId="0" fillId="0" borderId="0" xfId="0" applyFill="1"/>
    <xf numFmtId="0" fontId="0" fillId="0" borderId="0" xfId="0" applyFont="1" applyFill="1" applyBorder="1"/>
    <xf numFmtId="0" fontId="12" fillId="0" borderId="13" xfId="0" applyFont="1" applyBorder="1"/>
    <xf numFmtId="0" fontId="12" fillId="0" borderId="0" xfId="0" applyFont="1" applyFill="1" applyBorder="1"/>
    <xf numFmtId="0" fontId="0" fillId="5" borderId="75" xfId="0" applyFill="1" applyBorder="1"/>
    <xf numFmtId="0" fontId="0" fillId="0" borderId="0" xfId="0"/>
    <xf numFmtId="0" fontId="0" fillId="5" borderId="0" xfId="0" applyFill="1" applyBorder="1"/>
    <xf numFmtId="3" fontId="4" fillId="0" borderId="0" xfId="0" applyNumberFormat="1" applyFont="1"/>
    <xf numFmtId="3" fontId="4" fillId="0" borderId="0" xfId="0" applyNumberFormat="1" applyFont="1" applyBorder="1"/>
    <xf numFmtId="10" fontId="0" fillId="5" borderId="7" xfId="20" applyNumberFormat="1" applyFont="1" applyFill="1" applyBorder="1" applyAlignment="1">
      <alignment horizontal="center"/>
    </xf>
    <xf numFmtId="0" fontId="3" fillId="12" borderId="51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13" borderId="40" xfId="0" applyNumberFormat="1" applyFont="1" applyFill="1" applyBorder="1" applyAlignment="1">
      <alignment horizontal="center"/>
    </xf>
    <xf numFmtId="0" fontId="4" fillId="0" borderId="76" xfId="0" applyFont="1" applyBorder="1"/>
    <xf numFmtId="0" fontId="4" fillId="0" borderId="77" xfId="0" applyFont="1" applyBorder="1"/>
    <xf numFmtId="3" fontId="0" fillId="0" borderId="0" xfId="0" applyNumberFormat="1" applyFont="1" applyFill="1"/>
    <xf numFmtId="10" fontId="0" fillId="7" borderId="78" xfId="20" applyNumberFormat="1" applyFont="1" applyFill="1" applyBorder="1"/>
    <xf numFmtId="10" fontId="0" fillId="0" borderId="0" xfId="20" applyNumberFormat="1" applyFont="1" applyAlignment="1">
      <alignment wrapText="1"/>
    </xf>
    <xf numFmtId="10" fontId="0" fillId="0" borderId="0" xfId="20" applyNumberFormat="1" applyFont="1" applyAlignment="1">
      <alignment horizontal="center" wrapText="1"/>
    </xf>
    <xf numFmtId="3" fontId="0" fillId="0" borderId="0" xfId="20" applyNumberFormat="1" applyFont="1" applyAlignment="1">
      <alignment wrapText="1"/>
    </xf>
    <xf numFmtId="3" fontId="0" fillId="0" borderId="0" xfId="20" applyNumberFormat="1" applyFont="1" applyAlignment="1">
      <alignment horizontal="center" wrapText="1"/>
    </xf>
    <xf numFmtId="3" fontId="13" fillId="0" borderId="0" xfId="20" applyNumberFormat="1" applyFont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10" fontId="13" fillId="0" borderId="0" xfId="20" applyNumberFormat="1" applyFont="1" applyAlignment="1">
      <alignment horizontal="center" wrapText="1"/>
    </xf>
    <xf numFmtId="0" fontId="0" fillId="13" borderId="39" xfId="0" applyFill="1" applyBorder="1"/>
    <xf numFmtId="49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3" fontId="0" fillId="0" borderId="79" xfId="0" applyNumberFormat="1" applyBorder="1" applyAlignment="1">
      <alignment wrapText="1"/>
    </xf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80" xfId="0" applyBorder="1"/>
    <xf numFmtId="0" fontId="0" fillId="0" borderId="67" xfId="0" applyBorder="1"/>
    <xf numFmtId="0" fontId="0" fillId="0" borderId="8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/>
    <xf numFmtId="4" fontId="4" fillId="13" borderId="40" xfId="0" applyNumberFormat="1" applyFont="1" applyFill="1" applyBorder="1"/>
    <xf numFmtId="0" fontId="0" fillId="0" borderId="42" xfId="0" applyBorder="1"/>
    <xf numFmtId="4" fontId="4" fillId="0" borderId="0" xfId="0" applyNumberFormat="1" applyFont="1" applyBorder="1"/>
    <xf numFmtId="0" fontId="0" fillId="0" borderId="0" xfId="0"/>
    <xf numFmtId="3" fontId="4" fillId="0" borderId="0" xfId="0" applyNumberFormat="1" applyFont="1"/>
    <xf numFmtId="3" fontId="4" fillId="0" borderId="0" xfId="0" applyNumberFormat="1" applyFont="1" applyBorder="1"/>
    <xf numFmtId="3" fontId="13" fillId="0" borderId="0" xfId="0" applyNumberFormat="1" applyFont="1" applyAlignment="1">
      <alignment horizontal="right" wrapText="1"/>
    </xf>
    <xf numFmtId="49" fontId="14" fillId="0" borderId="0" xfId="0" applyNumberFormat="1" applyFont="1" applyAlignment="1">
      <alignment horizontal="center" wrapText="1"/>
    </xf>
    <xf numFmtId="3" fontId="0" fillId="0" borderId="0" xfId="20" applyNumberFormat="1" applyFont="1" applyAlignment="1">
      <alignment wrapText="1"/>
    </xf>
    <xf numFmtId="0" fontId="0" fillId="0" borderId="79" xfId="0" applyBorder="1" applyAlignment="1">
      <alignment horizontal="center"/>
    </xf>
    <xf numFmtId="2" fontId="0" fillId="0" borderId="79" xfId="0" applyNumberFormat="1" applyBorder="1"/>
    <xf numFmtId="2" fontId="0" fillId="0" borderId="81" xfId="0" applyNumberFormat="1" applyBorder="1"/>
    <xf numFmtId="0" fontId="0" fillId="0" borderId="82" xfId="0" applyBorder="1"/>
    <xf numFmtId="2" fontId="0" fillId="0" borderId="83" xfId="0" applyNumberFormat="1" applyBorder="1"/>
    <xf numFmtId="0" fontId="0" fillId="0" borderId="0" xfId="0" applyFont="1" applyFill="1"/>
    <xf numFmtId="10" fontId="0" fillId="0" borderId="0" xfId="20" applyNumberFormat="1" applyFont="1" applyAlignment="1">
      <alignment wrapText="1"/>
    </xf>
    <xf numFmtId="3" fontId="4" fillId="0" borderId="1" xfId="0" applyNumberFormat="1" applyFont="1" applyBorder="1"/>
    <xf numFmtId="0" fontId="0" fillId="0" borderId="0" xfId="0"/>
    <xf numFmtId="0" fontId="0" fillId="7" borderId="0" xfId="0" applyFont="1" applyFill="1" applyBorder="1"/>
    <xf numFmtId="3" fontId="0" fillId="7" borderId="0" xfId="0" applyNumberFormat="1" applyFont="1" applyFill="1" applyBorder="1"/>
    <xf numFmtId="0" fontId="0" fillId="7" borderId="15" xfId="0" applyFill="1" applyBorder="1"/>
    <xf numFmtId="0" fontId="0" fillId="7" borderId="12" xfId="0" applyFill="1" applyBorder="1"/>
    <xf numFmtId="0" fontId="0" fillId="0" borderId="15" xfId="0" applyBorder="1"/>
    <xf numFmtId="0" fontId="0" fillId="0" borderId="39" xfId="0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80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0" xfId="0"/>
    <xf numFmtId="164" fontId="0" fillId="0" borderId="79" xfId="0" applyNumberFormat="1" applyBorder="1"/>
    <xf numFmtId="3" fontId="4" fillId="0" borderId="0" xfId="0" applyNumberFormat="1" applyFont="1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/>
    <xf numFmtId="0" fontId="0" fillId="0" borderId="86" xfId="0" applyBorder="1" applyAlignment="1">
      <alignment horizontal="center"/>
    </xf>
    <xf numFmtId="0" fontId="0" fillId="0" borderId="84" xfId="0" applyBorder="1"/>
    <xf numFmtId="0" fontId="0" fillId="0" borderId="80" xfId="0" applyBorder="1" applyAlignment="1">
      <alignment horizontal="left"/>
    </xf>
    <xf numFmtId="0" fontId="0" fillId="0" borderId="67" xfId="0" applyBorder="1" applyAlignment="1">
      <alignment horizontal="left"/>
    </xf>
    <xf numFmtId="0" fontId="4" fillId="0" borderId="79" xfId="0" applyFont="1" applyBorder="1" applyAlignment="1">
      <alignment horizontal="center"/>
    </xf>
    <xf numFmtId="164" fontId="0" fillId="0" borderId="79" xfId="0" applyNumberFormat="1" applyBorder="1" applyAlignment="1">
      <alignment horizontal="center"/>
    </xf>
    <xf numFmtId="0" fontId="0" fillId="0" borderId="79" xfId="0" applyBorder="1"/>
    <xf numFmtId="0" fontId="4" fillId="0" borderId="8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0" fontId="0" fillId="0" borderId="79" xfId="0" applyBorder="1" applyAlignment="1">
      <alignment horizontal="left"/>
    </xf>
    <xf numFmtId="0" fontId="4" fillId="0" borderId="8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165" fontId="0" fillId="0" borderId="80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0" fillId="0" borderId="0" xfId="0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20% - Énfasis2" xfId="21"/>
    <cellStyle name="20% - Énfasis3" xfId="22"/>
    <cellStyle name="Hipervínculo" xfId="23"/>
  </cellStyles>
  <dxfs count="183"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77" formatCode="0.00"/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numFmt numFmtId="177" formatCode="0.0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0.00"/>
    </dxf>
    <dxf>
      <alignment horizontal="center" vertical="bottom" textRotation="0" wrapText="1" shrinkToFi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center" vertical="bottom" textRotation="0" wrapText="1" shrinkToFit="1" readingOrder="0"/>
    </dxf>
    <dxf>
      <numFmt numFmtId="177" formatCode="0.00"/>
      <border>
        <left/>
        <right/>
        <top/>
        <bottom/>
      </border>
    </dxf>
    <dxf>
      <numFmt numFmtId="177" formatCode="0.0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center" vertical="bottom" textRotation="0" wrapText="1" shrinkToFi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center" vertical="bottom" textRotation="0" wrapText="1" shrinkToFit="1" readingOrder="0"/>
    </dxf>
    <dxf>
      <numFmt numFmtId="177" formatCode="0.00"/>
      <border>
        <left/>
        <right/>
        <top/>
        <bottom/>
      </border>
    </dxf>
    <dxf>
      <numFmt numFmtId="177" formatCode="0.0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0.00"/>
    </dxf>
    <dxf>
      <numFmt numFmtId="177" formatCode="0.00"/>
    </dxf>
    <dxf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  <vertical/>
        <horizontal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8" formatCode="#,##0.00"/>
      <fill>
        <patternFill patternType="solid">
          <fgColor theme="9" tint="0.7999799847602844"/>
          <bgColor theme="9" tint="0.7999799847602844"/>
        </patternFill>
      </fill>
      <border>
        <left/>
        <right/>
        <top/>
        <bottom style="thin">
          <color theme="9" tint="0.39998000860214233"/>
        </bottom>
      </border>
    </dxf>
    <dxf>
      <font>
        <b/>
      </font>
    </dxf>
    <dxf>
      <fill>
        <patternFill patternType="solid">
          <fgColor theme="9" tint="0.7999799847602844"/>
          <bgColor theme="9" tint="0.7999799847602844"/>
        </patternFill>
      </fill>
      <border>
        <left style="thin">
          <color theme="9" tint="0.39998000860214233"/>
        </left>
        <right/>
        <top/>
        <bottom style="thin">
          <color theme="9" tint="0.39998000860214233"/>
        </bottom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9" tint="0.7999799847602844"/>
          <bgColor theme="9" tint="0.7999799847602844"/>
        </patternFill>
      </fill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9" formatCode="@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80" formatCode="#,##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right" vertical="bottom" textRotation="0" wrapText="1" shrinkToFit="1" readingOrder="0"/>
    </dxf>
    <dxf>
      <numFmt numFmtId="180" formatCode="#,##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80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1" formatCode="0.00%"/>
    </dxf>
    <dxf>
      <border>
        <left style="thin">
          <color theme="4" tint="0.39998000860214233"/>
        </left>
        <top style="thin">
          <color theme="4" tint="0.39998000860214233"/>
        </top>
        <bottom style="double">
          <color theme="4"/>
        </bottom>
      </border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center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numFmt numFmtId="180" formatCode="#,##0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80" formatCode="#,##0"/>
    </dxf>
    <dxf>
      <numFmt numFmtId="180" formatCode="#,##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numFmt numFmtId="180" formatCode="#,##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80" formatCode="#,##0"/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</dxf>
  </dxf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Relación referencias/presupuesto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Referencias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Informe!$D$4:$N$4</c:f>
              <c:strCache/>
            </c:strRef>
          </c:cat>
          <c:val>
            <c:numRef>
              <c:f>Informe!$D$12:$N$12</c:f>
              <c:numCache/>
            </c:numRef>
          </c:val>
        </c:ser>
        <c:ser>
          <c:idx val="1"/>
          <c:order val="1"/>
          <c:tx>
            <c:v>Presupuesto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Informe!$D$4:$N$4</c:f>
              <c:strCache/>
            </c:strRef>
          </c:cat>
          <c:val>
            <c:numRef>
              <c:f>Informe!$D$58:$N$58</c:f>
              <c:numCache/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242748"/>
        <c:crosses val="autoZero"/>
        <c:auto val="1"/>
        <c:lblOffset val="100"/>
        <c:noMultiLvlLbl val="0"/>
      </c:catAx>
      <c:valAx>
        <c:axId val="27242748"/>
        <c:scaling>
          <c:orientation val="minMax"/>
        </c:scaling>
        <c:axPos val="l"/>
        <c:majorGridlines/>
        <c:delete val="0"/>
        <c:numFmt formatCode="0.00%" sourceLinked="1"/>
        <c:majorTickMark val="none"/>
        <c:minorTickMark val="none"/>
        <c:tickLblPos val="nextTo"/>
        <c:crossAx val="552227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511" l="0.70000000000000095" r="0.70000000000000095" t="0.75000000000000511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Informe!$F$82:$O$82</c:f>
              <c:strCache/>
            </c:strRef>
          </c:cat>
          <c:val>
            <c:numRef>
              <c:f>Informe!$F$85:$O$85</c:f>
              <c:numCache/>
            </c:numRef>
          </c:val>
          <c:smooth val="0"/>
        </c:ser>
        <c:ser>
          <c:idx val="1"/>
          <c:order val="1"/>
          <c:tx>
            <c:v>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Informe!$F$82:$O$82</c:f>
              <c:strCache/>
            </c:strRef>
          </c:cat>
          <c:val>
            <c:numRef>
              <c:f>Informe!$F$109:$O$109</c:f>
              <c:numCache/>
            </c:numRef>
          </c:val>
          <c:smooth val="0"/>
        </c:ser>
        <c:marker val="1"/>
        <c:axId val="19461421"/>
        <c:axId val="40935062"/>
      </c:lineChart>
      <c:catAx>
        <c:axId val="194614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0935062"/>
        <c:crosses val="autoZero"/>
        <c:auto val="1"/>
        <c:lblOffset val="100"/>
        <c:noMultiLvlLbl val="0"/>
      </c:catAx>
      <c:valAx>
        <c:axId val="40935062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194614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Informe!$D$86:$O$86</c:f>
              <c:numCache/>
            </c:numRef>
          </c:val>
          <c:smooth val="0"/>
        </c:ser>
        <c:ser>
          <c:idx val="1"/>
          <c:order val="1"/>
          <c:tx>
            <c:v>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Informe!$D$110:$O$110</c:f>
              <c:numCache/>
            </c:numRef>
          </c:val>
          <c:smooth val="0"/>
        </c:ser>
        <c:marker val="1"/>
        <c:axId val="32871239"/>
        <c:axId val="27405696"/>
      </c:lineChart>
      <c:catAx>
        <c:axId val="32871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7405696"/>
        <c:crosses val="autoZero"/>
        <c:auto val="1"/>
        <c:lblOffset val="100"/>
        <c:noMultiLvlLbl val="0"/>
      </c:catAx>
      <c:valAx>
        <c:axId val="27405696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328712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Presupuesto</a:t>
            </a:r>
          </a:p>
        </c:rich>
      </c:tx>
      <c:layout>
        <c:manualLayout>
          <c:xMode val="edge"/>
          <c:yMode val="edge"/>
          <c:x val="0.409"/>
          <c:y val="0.050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Presupuesto!$B$7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.0015"/>
                  <c:y val="-0.01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Presupuesto!$C$4:$N$4</c:f>
              <c:strCache/>
            </c:strRef>
          </c:cat>
          <c:val>
            <c:numRef>
              <c:f>Presupuesto!$C$7:$N$7</c:f>
              <c:numCache/>
            </c:numRef>
          </c:val>
        </c:ser>
        <c:axId val="45324673"/>
        <c:axId val="5268874"/>
      </c:barChart>
      <c:lineChart>
        <c:grouping val="standard"/>
        <c:varyColors val="0"/>
        <c:ser>
          <c:idx val="0"/>
          <c:order val="1"/>
          <c:tx>
            <c:strRef>
              <c:f>Presupuesto!$B$5</c:f>
              <c:strCache>
                <c:ptCount val="1"/>
                <c:pt idx="0">
                  <c:v>Impreso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Presupuesto!$C$4:$N$4</c:f>
              <c:strCache/>
            </c:strRef>
          </c:cat>
          <c:val>
            <c:numRef>
              <c:f>Presupuesto!$C$5:$N$5</c:f>
              <c:numCache/>
            </c:numRef>
          </c:val>
          <c:smooth val="0"/>
        </c:ser>
        <c:ser>
          <c:idx val="1"/>
          <c:order val="2"/>
          <c:tx>
            <c:strRef>
              <c:f>Presupuesto!$B$6</c:f>
              <c:strCache>
                <c:ptCount val="1"/>
                <c:pt idx="0">
                  <c:v>Electrónico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Presupuesto!$C$4:$N$4</c:f>
              <c:strCache/>
            </c:strRef>
          </c:cat>
          <c:val>
            <c:numRef>
              <c:f>Presupuesto!$C$6:$N$6</c:f>
              <c:numCache/>
            </c:numRef>
          </c:val>
          <c:smooth val="0"/>
        </c:ser>
        <c:marker val="1"/>
        <c:axId val="45324673"/>
        <c:axId val="5268874"/>
      </c:lineChart>
      <c:catAx>
        <c:axId val="453246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5268874"/>
        <c:crosses val="autoZero"/>
        <c:auto val="1"/>
        <c:lblOffset val="100"/>
        <c:noMultiLvlLbl val="0"/>
      </c:catAx>
      <c:valAx>
        <c:axId val="5268874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45324673"/>
        <c:crosses val="autoZero"/>
        <c:crossBetween val="between"/>
        <c:dispUnits/>
      </c:valAx>
    </c:plotArea>
    <c:legend>
      <c:legendPos val="b"/>
      <c:layout/>
      <c:overlay val="0"/>
    </c:legend>
    <c:plotVisOnly val="0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Presupuesto promedio REBIUN</a:t>
            </a:r>
          </a:p>
        </c:rich>
      </c:tx>
      <c:layout>
        <c:manualLayout>
          <c:xMode val="edge"/>
          <c:yMode val="edge"/>
          <c:x val="0.32175"/>
          <c:y val="0.046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.0015"/>
                  <c:y val="-0.01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Presupuesto!$C$33:$N$33</c:f>
              <c:strCache/>
            </c:strRef>
          </c:cat>
          <c:val>
            <c:numRef>
              <c:f>Presupuesto!$C$36:$N$36</c:f>
              <c:numCache/>
            </c:numRef>
          </c:val>
        </c:ser>
        <c:axId val="47419867"/>
        <c:axId val="24125620"/>
      </c:barChart>
      <c:lineChart>
        <c:grouping val="standard"/>
        <c:varyColors val="0"/>
        <c:ser>
          <c:idx val="0"/>
          <c:order val="1"/>
          <c:tx>
            <c:v>Impreso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Presupuesto!$C$34:$N$34</c:f>
              <c:numCache/>
            </c:numRef>
          </c:val>
          <c:smooth val="0"/>
        </c:ser>
        <c:ser>
          <c:idx val="1"/>
          <c:order val="2"/>
          <c:tx>
            <c:v>Electrónico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Presupuesto!$C$35:$N$35</c:f>
              <c:numCache/>
            </c:numRef>
          </c:val>
          <c:smooth val="0"/>
        </c:ser>
        <c:marker val="1"/>
        <c:axId val="47419867"/>
        <c:axId val="24125620"/>
      </c:lineChart>
      <c:catAx>
        <c:axId val="474198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4125620"/>
        <c:crosses val="autoZero"/>
        <c:auto val="1"/>
        <c:lblOffset val="100"/>
        <c:noMultiLvlLbl val="0"/>
      </c:catAx>
      <c:valAx>
        <c:axId val="24125620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47419867"/>
        <c:crosses val="autoZero"/>
        <c:crossBetween val="between"/>
        <c:dispUnits/>
      </c:valAx>
    </c:plotArea>
    <c:legend>
      <c:legendPos val="b"/>
      <c:layout/>
      <c:overlay val="0"/>
    </c:legend>
    <c:plotVisOnly val="0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Presupuesto</a:t>
            </a:r>
            <a:r>
              <a:rPr lang="en-US" cap="none" u="none" baseline="0">
                <a:solidFill>
                  <a:schemeClr val="tx1"/>
                </a:solidFill>
              </a:rPr>
              <a:t> total anual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Presupuesto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Informe!$D$48:$O$48</c:f>
              <c:strCache/>
            </c:strRef>
          </c:cat>
          <c:val>
            <c:numRef>
              <c:f>Informe!$D$49:$O$49</c:f>
              <c:numCache/>
            </c:numRef>
          </c:val>
          <c:smooth val="0"/>
        </c:ser>
        <c:axId val="43858141"/>
        <c:axId val="59178950"/>
      </c:lineChart>
      <c:catAx>
        <c:axId val="43858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4385814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Presupuesto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frente  producción</a:t>
            </a:r>
          </a:p>
        </c:rich>
      </c:tx>
      <c:layout>
        <c:manualLayout>
          <c:xMode val="edge"/>
          <c:yMode val="edge"/>
          <c:x val="0.182"/>
          <c:y val="0.024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SCOPUS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Informe!$D$35:$O$35</c:f>
              <c:strCache/>
            </c:strRef>
          </c:cat>
          <c:val>
            <c:numRef>
              <c:f>Informe!$D$36:$O$36</c:f>
              <c:numCache/>
            </c:numRef>
          </c:val>
          <c:smooth val="0"/>
        </c:ser>
        <c:ser>
          <c:idx val="1"/>
          <c:order val="1"/>
          <c:tx>
            <c:v>WoS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Informe!$D$35:$O$35</c:f>
              <c:strCache/>
            </c:strRef>
          </c:cat>
          <c:val>
            <c:numRef>
              <c:f>Informe!$D$40:$O$40</c:f>
              <c:numCache/>
            </c:numRef>
          </c:val>
          <c:smooth val="0"/>
        </c:ser>
        <c:ser>
          <c:idx val="2"/>
          <c:order val="2"/>
          <c:tx>
            <c:v>Presupuesto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Informe!$D$35:$O$35</c:f>
              <c:strCache/>
            </c:strRef>
          </c:cat>
          <c:val>
            <c:numRef>
              <c:f>Informe!$D$50:$O$50</c:f>
              <c:numCache/>
            </c:numRef>
          </c:val>
          <c:smooth val="0"/>
        </c:ser>
        <c:axId val="62848503"/>
        <c:axId val="28765616"/>
      </c:lineChart>
      <c:catAx>
        <c:axId val="6284850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6284850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11" l="0.70000000000000095" r="0.70000000000000095" t="0.75000000000000511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PDI</a:t>
            </a:r>
            <a:r>
              <a:rPr lang="en-US" cap="none" u="none" baseline="0">
                <a:solidFill>
                  <a:schemeClr val="tx1"/>
                </a:solidFill>
              </a:rPr>
              <a:t> UPV</a:t>
            </a:r>
          </a:p>
        </c:rich>
      </c:tx>
      <c:layout>
        <c:manualLayout>
          <c:xMode val="edge"/>
          <c:yMode val="edge"/>
          <c:x val="0.4725"/>
          <c:y val="0.035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Informe!$C$65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.0015"/>
                  <c:y val="-0.01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Informe!$D$62:$O$62</c:f>
              <c:strCache/>
            </c:strRef>
          </c:cat>
          <c:val>
            <c:numRef>
              <c:f>Informe!$D$65:$O$65</c:f>
              <c:numCache/>
            </c:numRef>
          </c:val>
        </c:ser>
        <c:axId val="57563953"/>
        <c:axId val="48313530"/>
      </c:barChart>
      <c:lineChart>
        <c:grouping val="standard"/>
        <c:varyColors val="0"/>
        <c:ser>
          <c:idx val="0"/>
          <c:order val="1"/>
          <c:tx>
            <c:strRef>
              <c:f>Informe!$C$63</c:f>
              <c:strCache>
                <c:ptCount val="1"/>
                <c:pt idx="0">
                  <c:v>PDI jornada completa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Informe!$D$62:$O$62</c:f>
              <c:strCache/>
            </c:strRef>
          </c:cat>
          <c:val>
            <c:numRef>
              <c:f>Informe!$D$63:$O$63</c:f>
              <c:numCache/>
            </c:numRef>
          </c:val>
          <c:smooth val="0"/>
        </c:ser>
        <c:ser>
          <c:idx val="1"/>
          <c:order val="2"/>
          <c:tx>
            <c:strRef>
              <c:f>Informe!$C$64</c:f>
              <c:strCache>
                <c:ptCount val="1"/>
                <c:pt idx="0">
                  <c:v>PDI jornada parcial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Informe!$D$62:$O$62</c:f>
              <c:strCache/>
            </c:strRef>
          </c:cat>
          <c:val>
            <c:numRef>
              <c:f>Informe!$D$64:$O$64</c:f>
              <c:numCache/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57563953"/>
        <c:crosses val="autoZero"/>
        <c:crossBetween val="between"/>
        <c:dispUnits/>
      </c:valAx>
    </c:plotArea>
    <c:legend>
      <c:legendPos val="b"/>
      <c:layout/>
      <c:overlay val="0"/>
    </c:legend>
    <c:plotVisOnly val="0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chemeClr val="tx1"/>
                </a:solidFill>
              </a:rPr>
              <a:t>PDI</a:t>
            </a:r>
            <a:r>
              <a:rPr lang="en-US" cap="none" u="none" baseline="0">
                <a:solidFill>
                  <a:schemeClr val="tx1"/>
                </a:solidFill>
              </a:rPr>
              <a:t> PROMEDIO REBIUN</a:t>
            </a:r>
          </a:p>
        </c:rich>
      </c:tx>
      <c:layout>
        <c:manualLayout>
          <c:xMode val="edge"/>
          <c:yMode val="edge"/>
          <c:x val="0.19125"/>
          <c:y val="0.023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Informe!$C$72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.0015"/>
                  <c:y val="-0.01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475"/>
                  <c:y val="-0.03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Informe!$D$72:$O$72</c:f>
              <c:numCache/>
            </c:numRef>
          </c:val>
        </c:ser>
        <c:axId val="32168587"/>
        <c:axId val="21081828"/>
      </c:barChart>
      <c:lineChart>
        <c:grouping val="standard"/>
        <c:varyColors val="0"/>
        <c:ser>
          <c:idx val="0"/>
          <c:order val="1"/>
          <c:tx>
            <c:strRef>
              <c:f>Informe!$C$70</c:f>
              <c:strCache>
                <c:ptCount val="1"/>
                <c:pt idx="0">
                  <c:v>PDI jornada completa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Informe!$D$69:$O$69</c:f>
              <c:strCache/>
            </c:strRef>
          </c:cat>
          <c:val>
            <c:numRef>
              <c:f>Informe!$D$70:$O$70</c:f>
              <c:numCache/>
            </c:numRef>
          </c:val>
          <c:smooth val="0"/>
        </c:ser>
        <c:ser>
          <c:idx val="1"/>
          <c:order val="2"/>
          <c:tx>
            <c:strRef>
              <c:f>Informe!$C$71</c:f>
              <c:strCache>
                <c:ptCount val="1"/>
                <c:pt idx="0">
                  <c:v>PDI jornada parcial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Informe!$D$69:$O$69</c:f>
              <c:strCache/>
            </c:strRef>
          </c:cat>
          <c:val>
            <c:numRef>
              <c:f>Informe!$D$71:$O$71</c:f>
              <c:numCache/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</c:scaling>
        <c:axPos val="l"/>
        <c:majorGridlines/>
        <c:delete val="0"/>
        <c:numFmt formatCode="#,##0" sourceLinked="1"/>
        <c:majorTickMark val="none"/>
        <c:minorTickMark val="none"/>
        <c:tickLblPos val="nextTo"/>
        <c:crossAx val="32168587"/>
        <c:crosses val="autoZero"/>
        <c:crossBetween val="between"/>
        <c:dispUnits/>
      </c:valAx>
    </c:plotArea>
    <c:legend>
      <c:legendPos val="b"/>
      <c:layout/>
      <c:overlay val="0"/>
    </c:legend>
    <c:plotVisOnly val="0"/>
    <c:dispBlanksAs val="gap"/>
    <c:showDLblsOverMax val="0"/>
  </c:chart>
  <c:spPr>
    <a:solidFill>
      <a:schemeClr val="bg1"/>
    </a:solidFill>
    <a:ln w="25400" cap="flat" cmpd="sng">
      <a:solidFill>
        <a:schemeClr val="accent1"/>
      </a:solidFill>
      <a:prstDash val="solid"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+mn-lt"/>
          <a:ea typeface="+mn-cs"/>
          <a:cs typeface="+mn-cs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PDI 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5"/>
                  <c:y val="-0.05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125"/>
                  <c:y val="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95"/>
                  <c:y val="-0.05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125"/>
                  <c:y val="0.05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2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9"/>
                  <c:y val="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62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425"/>
                  <c:y val="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175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425"/>
                  <c:y val="0.05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Informe!$D$69:$O$69</c:f>
              <c:strCache/>
            </c:strRef>
          </c:cat>
          <c:val>
            <c:numRef>
              <c:f>Informe!$D$65:$O$65</c:f>
              <c:numCache/>
            </c:numRef>
          </c:val>
          <c:smooth val="0"/>
        </c:ser>
        <c:ser>
          <c:idx val="1"/>
          <c:order val="1"/>
          <c:tx>
            <c:v>PDI 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675"/>
                  <c:y val="-0.05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125"/>
                  <c:y val="0.05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425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9"/>
                  <c:y val="0.06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95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675"/>
                  <c:y val="-0.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125"/>
                  <c:y val="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95"/>
                  <c:y val="-0.04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425"/>
                  <c:y val="0.05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Informe!$D$69:$O$69</c:f>
              <c:strCache/>
            </c:strRef>
          </c:cat>
          <c:val>
            <c:numRef>
              <c:f>Informe!$D$72:$O$72</c:f>
              <c:numCache/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  <c:max val="2900"/>
          <c:min val="180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555187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Informe!$D$83:$O$83</c:f>
              <c:numCache/>
            </c:numRef>
          </c:val>
          <c:smooth val="0"/>
        </c:ser>
        <c:ser>
          <c:idx val="1"/>
          <c:order val="1"/>
          <c:tx>
            <c:v>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Informe!$D$107:$O$107</c:f>
              <c:numCache/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  <c:min val="30000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72284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Informe!$D$84:$O$84</c:f>
              <c:numCache/>
            </c:numRef>
          </c:val>
          <c:smooth val="0"/>
        </c:ser>
        <c:ser>
          <c:idx val="1"/>
          <c:order val="1"/>
          <c:tx>
            <c:v>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Informe!$D$108:$O$108</c:f>
              <c:numCache/>
            </c:numRef>
          </c:val>
          <c:smooth val="0"/>
        </c:ser>
        <c:marker val="1"/>
        <c:axId val="58550617"/>
        <c:axId val="57193506"/>
      </c:lineChart>
      <c:catAx>
        <c:axId val="585506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5855061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14625"/>
          <c:w val="0.703"/>
          <c:h val="0.6425"/>
        </c:manualLayout>
      </c:layout>
      <c:lineChart>
        <c:grouping val="standard"/>
        <c:varyColors val="0"/>
        <c:ser>
          <c:idx val="0"/>
          <c:order val="0"/>
          <c:tx>
            <c:v>UPV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Informe!$D$87:$O$87</c:f>
              <c:numCache/>
            </c:numRef>
          </c:val>
          <c:smooth val="0"/>
        </c:ser>
        <c:ser>
          <c:idx val="1"/>
          <c:order val="1"/>
          <c:tx>
            <c:v>REBIUN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Informe!$D$82:$O$82</c:f>
              <c:strCache/>
            </c:strRef>
          </c:cat>
          <c:val>
            <c:numRef>
              <c:f>Informe!$D$111:$O$111</c:f>
              <c:numCache/>
            </c:numRef>
          </c:val>
          <c:smooth val="0"/>
        </c:ser>
        <c:marker val="1"/>
        <c:axId val="44979507"/>
        <c:axId val="2162380"/>
      </c:lineChart>
      <c:catAx>
        <c:axId val="44979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162380"/>
        <c:crosses val="autoZero"/>
        <c:auto val="1"/>
        <c:lblOffset val="100"/>
        <c:noMultiLvlLbl val="0"/>
      </c:catAx>
      <c:valAx>
        <c:axId val="2162380"/>
        <c:scaling>
          <c:orientation val="minMax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449795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216"/>
          <c:y val="0.8915"/>
          <c:w val="0.584"/>
          <c:h val="0.08775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000000000000611" l="0.70000000000000095" r="0.70000000000000095" t="0.75000000000000611" header="0.30000000000000032" footer="0.30000000000000032"/>
    <c:pageSetup/>
  </c:printSettings>
  <c:date1904 val="0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0.18075</cdr:x>
      <cdr:y>0.03425</cdr:y>
    </cdr:from>
    <cdr:to>
      <cdr:x>0.52525</cdr:x>
      <cdr:y>0.17225</cdr:y>
    </cdr:to>
    <cdr:sp macro="" textlink="">
      <cdr:nvSpPr>
        <cdr:cNvPr id="2" name="1 CuadroTexto"/>
        <cdr:cNvSpPr txBox="1"/>
      </cdr:nvSpPr>
      <cdr:spPr>
        <a:xfrm>
          <a:off x="876300" y="95250"/>
          <a:ext cx="1685925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Número</a:t>
          </a:r>
          <a:r>
            <a:rPr lang="es-ES" sz="1100" b="1" baseline="0"/>
            <a:t/>
          </a:r>
          <a:r>
            <a:rPr lang="es-ES" sz="1800" b="1" baseline="0"/>
            <a:t>de PDI </a:t>
          </a:r>
          <a:endParaRPr lang="es-ES" sz="1800" b="1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</cdr:y>
    </cdr:from>
    <cdr:to>
      <cdr:x>0.531</cdr:x>
      <cdr:y>0.16725</cdr:y>
    </cdr:to>
    <cdr:sp macro="" textlink="">
      <cdr:nvSpPr>
        <cdr:cNvPr id="2" name="1 CuadroTexto"/>
        <cdr:cNvSpPr txBox="1"/>
      </cdr:nvSpPr>
      <cdr:spPr>
        <a:xfrm>
          <a:off x="914400" y="0"/>
          <a:ext cx="1695450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Monografías</a:t>
          </a:r>
          <a:endParaRPr lang="es-ES" sz="1400" b="1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</cdr:y>
    </cdr:from>
    <cdr:to>
      <cdr:x>0.527</cdr:x>
      <cdr:y>0.13775</cdr:y>
    </cdr:to>
    <cdr:sp macro="" textlink="">
      <cdr:nvSpPr>
        <cdr:cNvPr id="2" name="1 CuadroTexto"/>
        <cdr:cNvSpPr txBox="1"/>
      </cdr:nvSpPr>
      <cdr:spPr>
        <a:xfrm>
          <a:off x="895350" y="0"/>
          <a:ext cx="170497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Revistas</a:t>
          </a:r>
          <a:endParaRPr lang="es-ES" sz="1400" b="1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</cdr:y>
    </cdr:from>
    <cdr:to>
      <cdr:x>0.527</cdr:x>
      <cdr:y>0.13775</cdr:y>
    </cdr:to>
    <cdr:sp macro="" textlink="">
      <cdr:nvSpPr>
        <cdr:cNvPr id="2" name="1 CuadroTexto"/>
        <cdr:cNvSpPr txBox="1"/>
      </cdr:nvSpPr>
      <cdr:spPr>
        <a:xfrm>
          <a:off x="895350" y="0"/>
          <a:ext cx="1704975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Bases de datos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</cdr:y>
    </cdr:from>
    <cdr:to>
      <cdr:x>0.527</cdr:x>
      <cdr:y>0.13775</cdr:y>
    </cdr:to>
    <cdr:sp macro="" textlink="">
      <cdr:nvSpPr>
        <cdr:cNvPr id="2" name="1 CuadroTexto"/>
        <cdr:cNvSpPr txBox="1"/>
      </cdr:nvSpPr>
      <cdr:spPr>
        <a:xfrm>
          <a:off x="895350" y="0"/>
          <a:ext cx="170497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e-Monografías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</cdr:y>
    </cdr:from>
    <cdr:to>
      <cdr:x>0.527</cdr:x>
      <cdr:y>0.13775</cdr:y>
    </cdr:to>
    <cdr:sp macro="" textlink="">
      <cdr:nvSpPr>
        <cdr:cNvPr id="2" name="1 CuadroTexto"/>
        <cdr:cNvSpPr txBox="1"/>
      </cdr:nvSpPr>
      <cdr:spPr>
        <a:xfrm>
          <a:off x="895350" y="0"/>
          <a:ext cx="170497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e-Revistas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15</xdr:row>
      <xdr:rowOff>180975</xdr:rowOff>
    </xdr:from>
    <xdr:to>
      <xdr:col>16</xdr:col>
      <xdr:colOff>161925</xdr:colOff>
      <xdr:row>32</xdr:row>
      <xdr:rowOff>171450</xdr:rowOff>
    </xdr:to>
    <xdr:graphicFrame macro="">
      <xdr:nvGraphicFramePr>
        <xdr:cNvPr id="7" name="6 Gráfico"/>
        <xdr:cNvGraphicFramePr/>
      </xdr:nvGraphicFramePr>
      <xdr:xfrm>
        <a:off x="8229600" y="3162300"/>
        <a:ext cx="6010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409575</xdr:colOff>
      <xdr:row>0</xdr:row>
      <xdr:rowOff>57150</xdr:rowOff>
    </xdr:from>
    <xdr:to>
      <xdr:col>19</xdr:col>
      <xdr:colOff>381000</xdr:colOff>
      <xdr:row>14</xdr:row>
      <xdr:rowOff>123825</xdr:rowOff>
    </xdr:to>
    <xdr:graphicFrame macro="">
      <xdr:nvGraphicFramePr>
        <xdr:cNvPr id="8" name="7 Gráfico"/>
        <xdr:cNvGraphicFramePr/>
      </xdr:nvGraphicFramePr>
      <xdr:xfrm>
        <a:off x="12830175" y="57150"/>
        <a:ext cx="3914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13</xdr:row>
      <xdr:rowOff>19050</xdr:rowOff>
    </xdr:from>
    <xdr:to>
      <xdr:col>7</xdr:col>
      <xdr:colOff>171450</xdr:colOff>
      <xdr:row>29</xdr:row>
      <xdr:rowOff>152400</xdr:rowOff>
    </xdr:to>
    <xdr:graphicFrame macro="">
      <xdr:nvGraphicFramePr>
        <xdr:cNvPr id="2" name="1 Gráfico"/>
        <xdr:cNvGraphicFramePr/>
      </xdr:nvGraphicFramePr>
      <xdr:xfrm>
        <a:off x="2276475" y="2619375"/>
        <a:ext cx="47910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152400</xdr:colOff>
      <xdr:row>55</xdr:row>
      <xdr:rowOff>9525</xdr:rowOff>
    </xdr:from>
    <xdr:to>
      <xdr:col>22</xdr:col>
      <xdr:colOff>28575</xdr:colOff>
      <xdr:row>72</xdr:row>
      <xdr:rowOff>9525</xdr:rowOff>
    </xdr:to>
    <xdr:graphicFrame macro="">
      <xdr:nvGraphicFramePr>
        <xdr:cNvPr id="6" name="5 Gráfico"/>
        <xdr:cNvGraphicFramePr/>
      </xdr:nvGraphicFramePr>
      <xdr:xfrm>
        <a:off x="14230350" y="10925175"/>
        <a:ext cx="44481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54</xdr:row>
      <xdr:rowOff>171450</xdr:rowOff>
    </xdr:from>
    <xdr:to>
      <xdr:col>27</xdr:col>
      <xdr:colOff>504825</xdr:colOff>
      <xdr:row>72</xdr:row>
      <xdr:rowOff>38100</xdr:rowOff>
    </xdr:to>
    <xdr:graphicFrame macro="">
      <xdr:nvGraphicFramePr>
        <xdr:cNvPr id="9" name="8 Gráfico"/>
        <xdr:cNvGraphicFramePr/>
      </xdr:nvGraphicFramePr>
      <xdr:xfrm>
        <a:off x="18869025" y="10896600"/>
        <a:ext cx="40957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171450</xdr:colOff>
      <xdr:row>72</xdr:row>
      <xdr:rowOff>152400</xdr:rowOff>
    </xdr:from>
    <xdr:to>
      <xdr:col>22</xdr:col>
      <xdr:colOff>495300</xdr:colOff>
      <xdr:row>87</xdr:row>
      <xdr:rowOff>85725</xdr:rowOff>
    </xdr:to>
    <xdr:graphicFrame macro="">
      <xdr:nvGraphicFramePr>
        <xdr:cNvPr id="3" name="2 Gráfico"/>
        <xdr:cNvGraphicFramePr/>
      </xdr:nvGraphicFramePr>
      <xdr:xfrm>
        <a:off x="14249400" y="14573250"/>
        <a:ext cx="489585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190500</xdr:colOff>
      <xdr:row>88</xdr:row>
      <xdr:rowOff>28575</xdr:rowOff>
    </xdr:from>
    <xdr:to>
      <xdr:col>22</xdr:col>
      <xdr:colOff>552450</xdr:colOff>
      <xdr:row>97</xdr:row>
      <xdr:rowOff>161925</xdr:rowOff>
    </xdr:to>
    <xdr:graphicFrame macro="">
      <xdr:nvGraphicFramePr>
        <xdr:cNvPr id="10" name="9 Gráfico"/>
        <xdr:cNvGraphicFramePr/>
      </xdr:nvGraphicFramePr>
      <xdr:xfrm>
        <a:off x="14268450" y="17745075"/>
        <a:ext cx="493395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190500</xdr:colOff>
      <xdr:row>99</xdr:row>
      <xdr:rowOff>0</xdr:rowOff>
    </xdr:from>
    <xdr:to>
      <xdr:col>22</xdr:col>
      <xdr:colOff>561975</xdr:colOff>
      <xdr:row>108</xdr:row>
      <xdr:rowOff>9525</xdr:rowOff>
    </xdr:to>
    <xdr:graphicFrame macro="">
      <xdr:nvGraphicFramePr>
        <xdr:cNvPr id="11" name="10 Gráfico"/>
        <xdr:cNvGraphicFramePr/>
      </xdr:nvGraphicFramePr>
      <xdr:xfrm>
        <a:off x="14268450" y="19916775"/>
        <a:ext cx="4943475" cy="1828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200025</xdr:colOff>
      <xdr:row>108</xdr:row>
      <xdr:rowOff>180975</xdr:rowOff>
    </xdr:from>
    <xdr:to>
      <xdr:col>22</xdr:col>
      <xdr:colOff>571500</xdr:colOff>
      <xdr:row>117</xdr:row>
      <xdr:rowOff>95250</xdr:rowOff>
    </xdr:to>
    <xdr:graphicFrame macro="">
      <xdr:nvGraphicFramePr>
        <xdr:cNvPr id="12" name="11 Gráfico"/>
        <xdr:cNvGraphicFramePr/>
      </xdr:nvGraphicFramePr>
      <xdr:xfrm>
        <a:off x="14277975" y="21917025"/>
        <a:ext cx="4943475" cy="162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171450</xdr:colOff>
      <xdr:row>118</xdr:row>
      <xdr:rowOff>47625</xdr:rowOff>
    </xdr:from>
    <xdr:to>
      <xdr:col>22</xdr:col>
      <xdr:colOff>542925</xdr:colOff>
      <xdr:row>127</xdr:row>
      <xdr:rowOff>161925</xdr:rowOff>
    </xdr:to>
    <xdr:graphicFrame macro="">
      <xdr:nvGraphicFramePr>
        <xdr:cNvPr id="13" name="12 Gráfico"/>
        <xdr:cNvGraphicFramePr/>
      </xdr:nvGraphicFramePr>
      <xdr:xfrm>
        <a:off x="14249400" y="23688675"/>
        <a:ext cx="4943475" cy="182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180975</xdr:colOff>
      <xdr:row>128</xdr:row>
      <xdr:rowOff>133350</xdr:rowOff>
    </xdr:from>
    <xdr:to>
      <xdr:col>22</xdr:col>
      <xdr:colOff>552450</xdr:colOff>
      <xdr:row>138</xdr:row>
      <xdr:rowOff>57150</xdr:rowOff>
    </xdr:to>
    <xdr:graphicFrame macro="">
      <xdr:nvGraphicFramePr>
        <xdr:cNvPr id="14" name="13 Gráfico"/>
        <xdr:cNvGraphicFramePr/>
      </xdr:nvGraphicFramePr>
      <xdr:xfrm>
        <a:off x="14258925" y="25679400"/>
        <a:ext cx="4943475" cy="1828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142875</xdr:rowOff>
    </xdr:from>
    <xdr:to>
      <xdr:col>10</xdr:col>
      <xdr:colOff>0</xdr:colOff>
      <xdr:row>27</xdr:row>
      <xdr:rowOff>142875</xdr:rowOff>
    </xdr:to>
    <xdr:graphicFrame macro="">
      <xdr:nvGraphicFramePr>
        <xdr:cNvPr id="3" name="2 Gráfico"/>
        <xdr:cNvGraphicFramePr/>
      </xdr:nvGraphicFramePr>
      <xdr:xfrm>
        <a:off x="771525" y="1981200"/>
        <a:ext cx="7781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39</xdr:row>
      <xdr:rowOff>38100</xdr:rowOff>
    </xdr:from>
    <xdr:to>
      <xdr:col>9</xdr:col>
      <xdr:colOff>733425</xdr:colOff>
      <xdr:row>57</xdr:row>
      <xdr:rowOff>38100</xdr:rowOff>
    </xdr:to>
    <xdr:graphicFrame macro="">
      <xdr:nvGraphicFramePr>
        <xdr:cNvPr id="4" name="3 Gráfico"/>
        <xdr:cNvGraphicFramePr/>
      </xdr:nvGraphicFramePr>
      <xdr:xfrm>
        <a:off x="742950" y="7715250"/>
        <a:ext cx="77819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C35:O43" totalsRowCount="1">
  <tableColumns count="13">
    <tableColumn id="1" name="BBDD" dataDxfId="182" totalsRowLabel="Total" totalsRowDxfId="181"/>
    <tableColumn id="9" name="2001" dataDxfId="180" totalsRowFunction="custom">
      <totalsRowFormula>SUM(Tabla1[2001])</totalsRowFormula>
    </tableColumn>
    <tableColumn id="8" name="2002" dataDxfId="179" totalsRowFunction="custom">
      <totalsRowFormula>SUM(Tabla1[2002])</totalsRowFormula>
    </tableColumn>
    <tableColumn id="7" name="2003" dataDxfId="178" totalsRowFunction="custom">
      <totalsRowFormula>SUM(Tabla1[2003])</totalsRowFormula>
    </tableColumn>
    <tableColumn id="6" name="2004" dataDxfId="177" totalsRowFunction="custom">
      <totalsRowFormula>SUM(Tabla1[2004])</totalsRowFormula>
    </tableColumn>
    <tableColumn id="2" name="2005" dataDxfId="176" totalsRowFunction="custom">
      <totalsRowFormula>SUM(Tabla1[2005])</totalsRowFormula>
    </tableColumn>
    <tableColumn id="3" name="2006" dataDxfId="175" totalsRowFunction="custom">
      <totalsRowFormula>SUM(Tabla1[2006])</totalsRowFormula>
    </tableColumn>
    <tableColumn id="4" name="2007" dataDxfId="174" totalsRowFunction="custom">
      <totalsRowFormula>SUM(Tabla1[2007])</totalsRowFormula>
    </tableColumn>
    <tableColumn id="5" name="2008" dataDxfId="173" totalsRowFunction="custom">
      <totalsRowFormula>SUM(Tabla1[2008])</totalsRowFormula>
    </tableColumn>
    <tableColumn id="10" name="2009" dataDxfId="172" totalsRowFunction="custom">
      <totalsRowFormula>SUM(Tabla1[2009])</totalsRowFormula>
    </tableColumn>
    <tableColumn id="11" name="2010" dataDxfId="171" totalsRowFunction="custom">
      <totalsRowFormula>SUM(Tabla1[2010])</totalsRowFormula>
    </tableColumn>
    <tableColumn id="12" name="2011" dataDxfId="170" totalsRowFunction="custom">
      <totalsRowFormula>SUM(Tabla1[2011])</totalsRowFormula>
    </tableColumn>
    <tableColumn id="13" name="2012" dataDxfId="169" totalsRowFunction="custom">
      <totalsRowFormula>SUM(Tabla1[2012])</totalsRow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43" name="Tabla43" displayName="Tabla43" ref="B24:M25" totalsRowShown="0">
  <tableColumns count="12">
    <tableColumn id="1" name="BBDD" dataDxfId="70"/>
    <tableColumn id="2" name="2001">
      <calculatedColumnFormula>C15</calculatedColumnFormula>
    </tableColumn>
    <tableColumn id="3" name="2003">
      <calculatedColumnFormula>E15</calculatedColumnFormula>
    </tableColumn>
    <tableColumn id="4" name="2004">
      <calculatedColumnFormula>F15</calculatedColumnFormula>
    </tableColumn>
    <tableColumn id="5" name="2005">
      <calculatedColumnFormula>G15</calculatedColumnFormula>
    </tableColumn>
    <tableColumn id="6" name="2006">
      <calculatedColumnFormula>H15</calculatedColumnFormula>
    </tableColumn>
    <tableColumn id="7" name="2007">
      <calculatedColumnFormula>I15</calculatedColumnFormula>
    </tableColumn>
    <tableColumn id="8" name="2008">
      <calculatedColumnFormula>J15</calculatedColumnFormula>
    </tableColumn>
    <tableColumn id="9" name="2009">
      <calculatedColumnFormula>K15</calculatedColumnFormula>
    </tableColumn>
    <tableColumn id="10" name="2010">
      <calculatedColumnFormula>L15</calculatedColumnFormula>
    </tableColumn>
    <tableColumn id="11" name="2011">
      <calculatedColumnFormula>M15</calculatedColumnFormula>
    </tableColumn>
    <tableColumn id="12" name="2012" dataDxfId="69">
      <calculatedColumnFormula>N15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37" name="Tabla12738" displayName="Tabla12738" ref="B46:N53" totalsRowShown="0" headerRowDxfId="68" dataDxfId="67">
  <tableColumns count="13">
    <tableColumn id="1" name="Colección/Año"/>
    <tableColumn id="2" name="2001" dataDxfId="66">
      <calculatedColumnFormula>Informe!D83</calculatedColumnFormula>
    </tableColumn>
    <tableColumn id="3" name="2002" dataDxfId="65">
      <calculatedColumnFormula>Informe!E83</calculatedColumnFormula>
    </tableColumn>
    <tableColumn id="4" name="2003" dataDxfId="64">
      <calculatedColumnFormula>Informe!F83</calculatedColumnFormula>
    </tableColumn>
    <tableColumn id="5" name="2004" dataDxfId="63">
      <calculatedColumnFormula>Informe!G83</calculatedColumnFormula>
    </tableColumn>
    <tableColumn id="6" name="2005" dataDxfId="62">
      <calculatedColumnFormula>Informe!H83</calculatedColumnFormula>
    </tableColumn>
    <tableColumn id="7" name="2006" dataDxfId="61">
      <calculatedColumnFormula>Informe!I83</calculatedColumnFormula>
    </tableColumn>
    <tableColumn id="8" name="2007" dataDxfId="60">
      <calculatedColumnFormula>Informe!J83</calculatedColumnFormula>
    </tableColumn>
    <tableColumn id="9" name="2008" dataDxfId="59">
      <calculatedColumnFormula>Informe!K83</calculatedColumnFormula>
    </tableColumn>
    <tableColumn id="10" name="2009" dataDxfId="58">
      <calculatedColumnFormula>Informe!L83</calculatedColumnFormula>
    </tableColumn>
    <tableColumn id="11" name="2010" dataDxfId="57">
      <calculatedColumnFormula>Informe!M83</calculatedColumnFormula>
    </tableColumn>
    <tableColumn id="12" name="2011" dataDxfId="56">
      <calculatedColumnFormula>Informe!N83</calculatedColumnFormula>
    </tableColumn>
    <tableColumn id="13" name="2012" dataDxfId="55">
      <calculatedColumnFormula>Informe!O83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45" name="Tabla45" displayName="Tabla45" ref="B40:M41" totalsRowShown="0" headerRowDxfId="54" dataDxfId="53">
  <tableColumns count="12">
    <tableColumn id="1" name="Productividad" dataDxfId="52"/>
    <tableColumn id="2" name="2001" dataDxfId="51"/>
    <tableColumn id="3" name="2003" dataDxfId="50">
      <calculatedColumnFormula>E15/E32</calculatedColumnFormula>
    </tableColumn>
    <tableColumn id="4" name="2004" dataDxfId="49">
      <calculatedColumnFormula>F15/F32</calculatedColumnFormula>
    </tableColumn>
    <tableColumn id="5" name="2005" dataDxfId="48">
      <calculatedColumnFormula>G15/G32</calculatedColumnFormula>
    </tableColumn>
    <tableColumn id="6" name="2006" dataDxfId="47">
      <calculatedColumnFormula>H15/H32</calculatedColumnFormula>
    </tableColumn>
    <tableColumn id="7" name="2007" dataDxfId="46">
      <calculatedColumnFormula>I15/I32</calculatedColumnFormula>
    </tableColumn>
    <tableColumn id="8" name="2008" dataDxfId="45">
      <calculatedColumnFormula>J15/J32</calculatedColumnFormula>
    </tableColumn>
    <tableColumn id="9" name="2009" dataDxfId="44">
      <calculatedColumnFormula>K15/K32</calculatedColumnFormula>
    </tableColumn>
    <tableColumn id="10" name="2010" dataDxfId="43">
      <calculatedColumnFormula>L15/L32</calculatedColumnFormula>
    </tableColumn>
    <tableColumn id="11" name="2011" dataDxfId="42">
      <calculatedColumnFormula>M15/M32</calculatedColumnFormula>
    </tableColumn>
    <tableColumn id="12" name="2012" dataDxfId="41">
      <calculatedColumnFormula>N15/N32</calculatedColumnFormula>
    </tableColumn>
  </tableColumns>
  <tableStyleInfo name="TableStyleLight14" showFirstColumn="0" showLastColumn="0" showRowStripes="1" showColumnStripes="0"/>
</table>
</file>

<file path=xl/tables/table13.xml><?xml version="1.0" encoding="utf-8"?>
<table xmlns="http://schemas.openxmlformats.org/spreadsheetml/2006/main" id="32" name="Tabla32" displayName="Tabla32" ref="B63:O64" totalsRowShown="0">
  <tableColumns count="14">
    <tableColumn id="1" name="Nombres/Producción"/>
    <tableColumn id="13" name="2001"/>
    <tableColumn id="12" name="2002"/>
    <tableColumn id="8" name="2003"/>
    <tableColumn id="11" name="2004"/>
    <tableColumn id="10" name="2005"/>
    <tableColumn id="9" name="2006"/>
    <tableColumn id="7" name="2007"/>
    <tableColumn id="2" name="2008"/>
    <tableColumn id="3" name="2009"/>
    <tableColumn id="4" name="2010"/>
    <tableColumn id="5" name="2011"/>
    <tableColumn id="14" name="2012"/>
    <tableColumn id="6" name="TOTAL">
      <calculatedColumnFormula>SUM(C64:N64)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9" name="Tabla68910" displayName="Tabla68910" ref="B4:F35" totalsRowCount="1" headerRowDxfId="40">
  <tableColumns count="5">
    <tableColumn id="1" name="Identificador"/>
    <tableColumn id="2" name="Tipología"/>
    <tableColumn id="3" name="Referencias" totalsRowFunction="sum"/>
    <tableColumn id="4" name="Texto completo" totalsRowFunction="sum"/>
    <tableColumn id="5" name="Porcentaje" dataDxfId="39" totalsRowFunction="average" totalsRowDxfId="38">
      <calculatedColumnFormula>Tabla68910[[#This Row],[Texto completo]]/Tabla68910[[#This Row],[Referencias]]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7" name="Tabla51418" displayName="Tabla51418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16.xml><?xml version="1.0" encoding="utf-8"?>
<table xmlns="http://schemas.openxmlformats.org/spreadsheetml/2006/main" id="18" name="Tabla101519" displayName="Tabla101519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17.xml><?xml version="1.0" encoding="utf-8"?>
<table xmlns="http://schemas.openxmlformats.org/spreadsheetml/2006/main" id="19" name="Tabla111620" displayName="Tabla111620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18.xml><?xml version="1.0" encoding="utf-8"?>
<table xmlns="http://schemas.openxmlformats.org/spreadsheetml/2006/main" id="20" name="Tabla121721" displayName="Tabla121721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19.xml><?xml version="1.0" encoding="utf-8"?>
<table xmlns="http://schemas.openxmlformats.org/spreadsheetml/2006/main" id="2" name="Tabla689103" displayName="Tabla689103" ref="B4:D105" totalsRowShown="0" headerRowDxfId="37">
  <tableColumns count="3">
    <tableColumn id="1" name="Identificador"/>
    <tableColumn id="2" name="Tipología"/>
    <tableColumn id="3" name="Referencias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48:O50" totalsRowShown="0" dataDxfId="168">
  <tableColumns count="13">
    <tableColumn id="1" name="Presupuesto"/>
    <tableColumn id="9" name="2001" dataDxfId="167"/>
    <tableColumn id="8" name="2002"/>
    <tableColumn id="7" name="2003"/>
    <tableColumn id="6" name="2004"/>
    <tableColumn id="2" name="2005" dataDxfId="166"/>
    <tableColumn id="3" name="2006" dataDxfId="165"/>
    <tableColumn id="4" name="2007" dataDxfId="164"/>
    <tableColumn id="5" name="2008" dataDxfId="163"/>
    <tableColumn id="10" name="2009" dataDxfId="162">
      <calculatedColumnFormula>L48/1000</calculatedColumnFormula>
    </tableColumn>
    <tableColumn id="11" name="2010" dataDxfId="161">
      <calculatedColumnFormula>M48/1000</calculatedColumnFormula>
    </tableColumn>
    <tableColumn id="12" name="2011" dataDxfId="160">
      <calculatedColumnFormula>N48/1000</calculatedColumnFormula>
    </tableColumn>
    <tableColumn id="13" name="2012" dataDxfId="159">
      <calculatedColumnFormula>O48/1000</calculatedColumn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4" name="Tabla514185" displayName="Tabla514185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1.xml><?xml version="1.0" encoding="utf-8"?>
<table xmlns="http://schemas.openxmlformats.org/spreadsheetml/2006/main" id="25" name="Tabla10151926" displayName="Tabla10151926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2.xml><?xml version="1.0" encoding="utf-8"?>
<table xmlns="http://schemas.openxmlformats.org/spreadsheetml/2006/main" id="8" name="Tabla689" displayName="Tabla689" ref="B4:F35" totalsRowCount="1" headerRowDxfId="36">
  <tableColumns count="5">
    <tableColumn id="1" name="Identificador" totalsRowDxfId="35"/>
    <tableColumn id="2" name="Tipología" totalsRowDxfId="34"/>
    <tableColumn id="3" name="Referencias" totalsRowFunction="custom" totalsRowDxfId="33">
      <totalsRowFormula>SUM(Tabla689[Referencias])</totalsRowFormula>
    </tableColumn>
    <tableColumn id="4" name="Texto completo" totalsRowFunction="custom" totalsRowDxfId="32">
      <totalsRowFormula>SUM(Tabla689[Texto completo])</totalsRowFormula>
    </tableColumn>
    <tableColumn id="5" name="Porcentaje" dataDxfId="31" totalsRowFunction="average" totalsRowDxfId="30">
      <calculatedColumnFormula>Tabla689[[#This Row],[Texto completo]]/Tabla689[[#This Row],[Referencias]]</calculatedColumn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3" name="Tabla514" displayName="Tabla514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4.xml><?xml version="1.0" encoding="utf-8"?>
<table xmlns="http://schemas.openxmlformats.org/spreadsheetml/2006/main" id="14" name="Tabla1015" displayName="Tabla1015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5.xml><?xml version="1.0" encoding="utf-8"?>
<table xmlns="http://schemas.openxmlformats.org/spreadsheetml/2006/main" id="15" name="Tabla1116" displayName="Tabla1116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6.xml><?xml version="1.0" encoding="utf-8"?>
<table xmlns="http://schemas.openxmlformats.org/spreadsheetml/2006/main" id="16" name="Tabla1217" displayName="Tabla1217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27.xml><?xml version="1.0" encoding="utf-8"?>
<table xmlns="http://schemas.openxmlformats.org/spreadsheetml/2006/main" id="28" name="Tabla68929" displayName="Tabla68929" ref="B4:D52" totalsRowShown="0" headerRowDxfId="29">
  <tableColumns count="3">
    <tableColumn id="1" name="Identificador" totalsRowDxfId="28"/>
    <tableColumn id="2" name="Tipología" totalsRowDxfId="27"/>
    <tableColumn id="3" name="Referencias" totalsRowFunction="custom" totalsRowDxfId="26">
      <totalsRowFormula>SUM(Tabla68929[Referencias])</totalsRow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9" name="Tabla51430" displayName="Tabla51430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29.xml><?xml version="1.0" encoding="utf-8"?>
<table xmlns="http://schemas.openxmlformats.org/spreadsheetml/2006/main" id="30" name="Tabla101531" displayName="Tabla101531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id="26" name="Tabla127" displayName="Tabla127" ref="C82:O89" totalsRowShown="0" headerRowDxfId="158" dataDxfId="157">
  <tableColumns count="13">
    <tableColumn id="1" name="Colección/Año"/>
    <tableColumn id="2" name="2001" dataDxfId="156"/>
    <tableColumn id="3" name="2002" dataDxfId="155"/>
    <tableColumn id="4" name="2003" dataDxfId="154"/>
    <tableColumn id="5" name="2004" dataDxfId="153"/>
    <tableColumn id="6" name="2005" dataDxfId="152"/>
    <tableColumn id="7" name="2006" dataDxfId="151"/>
    <tableColumn id="8" name="2007" dataDxfId="150"/>
    <tableColumn id="9" name="2008" dataDxfId="149"/>
    <tableColumn id="10" name="2009" dataDxfId="148"/>
    <tableColumn id="11" name="2010" dataDxfId="147"/>
    <tableColumn id="12" name="2011" dataDxfId="146"/>
    <tableColumn id="13" name="2012" dataDxfId="145"/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id="7" name="Tabla68" displayName="Tabla68" ref="B4:F35" totalsRowCount="1" headerRowDxfId="25">
  <tableColumns count="5">
    <tableColumn id="1" name="Identificador" totalsRowDxfId="24"/>
    <tableColumn id="2" name="Tipología" totalsRowDxfId="23"/>
    <tableColumn id="3" name="Referencias" totalsRowFunction="sum" totalsRowDxfId="22"/>
    <tableColumn id="4" name="Texto completo" totalsRowFunction="custom" totalsRowDxfId="21">
      <totalsRowFormula>SUM(E5:E34)</totalsRowFormula>
    </tableColumn>
    <tableColumn id="5" name="Porcentaje" dataDxfId="20" totalsRowFunction="custom" totalsRowDxfId="19">
      <calculatedColumnFormula>Tabla68[[#This Row],[Texto completo]]/Tabla68[[#This Row],[Referencias]]</calculatedColumnFormula>
      <totalsRowFormula>AVERAGE(Tabla68[Porcentaje])</totalsRow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5" name="Tabla5" displayName="Tabla5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2.xml><?xml version="1.0" encoding="utf-8"?>
<table xmlns="http://schemas.openxmlformats.org/spreadsheetml/2006/main" id="10" name="Tabla10" displayName="Tabla10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3.xml><?xml version="1.0" encoding="utf-8"?>
<table xmlns="http://schemas.openxmlformats.org/spreadsheetml/2006/main" id="11" name="Tabla11" displayName="Tabla11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4.xml><?xml version="1.0" encoding="utf-8"?>
<table xmlns="http://schemas.openxmlformats.org/spreadsheetml/2006/main" id="12" name="Tabla12" displayName="Tabla12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5.xml><?xml version="1.0" encoding="utf-8"?>
<table xmlns="http://schemas.openxmlformats.org/spreadsheetml/2006/main" id="33" name="Tabla6834" displayName="Tabla6834" ref="B4:D81" totalsRowShown="0" headerRowDxfId="18">
  <tableColumns count="3">
    <tableColumn id="1" name="Identificador" totalsRowDxfId="17"/>
    <tableColumn id="2" name="Tipología" totalsRowDxfId="16"/>
    <tableColumn id="3" name="Referencias" totalsRowFunction="sum" totalsRowDxfId="15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4" name="Tabla535" displayName="Tabla535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37.xml><?xml version="1.0" encoding="utf-8"?>
<table xmlns="http://schemas.openxmlformats.org/spreadsheetml/2006/main" id="35" name="Tabla1036" displayName="Tabla1036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38.xml><?xml version="1.0" encoding="utf-8"?>
<table xmlns="http://schemas.openxmlformats.org/spreadsheetml/2006/main" id="6" name="Tabla6" displayName="Tabla6" ref="B4:F35" totalsRowCount="1" headerRowDxfId="14">
  <tableColumns count="5">
    <tableColumn id="1" name="Identificador" totalsRowDxfId="9"/>
    <tableColumn id="2" name="Tipología" totalsRowDxfId="8"/>
    <tableColumn id="3" name="Referencias" totalsRowFunction="custom" totalsRowDxfId="7">
      <totalsRowFormula>SUM(Tabla6[Referencias])</totalsRowFormula>
    </tableColumn>
    <tableColumn id="4" name="Texto completo" totalsRowFunction="custom" totalsRowDxfId="6">
      <totalsRowFormula>SUM(Tabla6[Texto completo])</totalsRowFormula>
    </tableColumn>
    <tableColumn id="5" name="Porcentaje" dataDxfId="13" totalsRowFunction="custom" totalsRowDxfId="5">
      <calculatedColumnFormula>Tabla6[[#This Row],[Texto completo]]/Tabla6[[#This Row],[Referencias]]</calculatedColumnFormula>
      <totalsRowFormula>AVERAGE(Tabla6[Porcentaje])</totalsRow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21" name="Tabla5141822" displayName="Tabla5141822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41" name="Tabla41" displayName="Tabla41" ref="C4:J11" totalsRowShown="0" headerRowDxfId="144" tableBorderDxfId="142" headerRowBorderDxfId="143">
  <tableColumns count="8">
    <tableColumn id="1" name="BBDD/año"/>
    <tableColumn id="8" name="2002"/>
    <tableColumn id="7" name="2003"/>
    <tableColumn id="6" name="2004"/>
    <tableColumn id="5" name="2005" dataDxfId="141"/>
    <tableColumn id="2" name="2006" dataDxfId="140"/>
    <tableColumn id="3" name="2007" dataDxfId="139"/>
    <tableColumn id="4" name="2008" dataDxfId="138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22" name="Tabla10151923" displayName="Tabla10151923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1.xml><?xml version="1.0" encoding="utf-8"?>
<table xmlns="http://schemas.openxmlformats.org/spreadsheetml/2006/main" id="23" name="Tabla11162024" displayName="Tabla11162024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2.xml><?xml version="1.0" encoding="utf-8"?>
<table xmlns="http://schemas.openxmlformats.org/spreadsheetml/2006/main" id="24" name="Tabla12172125" displayName="Tabla12172125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3.xml><?xml version="1.0" encoding="utf-8"?>
<table xmlns="http://schemas.openxmlformats.org/spreadsheetml/2006/main" id="38" name="Tabla639" displayName="Tabla639" ref="B4:D35" totalsRowShown="0" headerRowDxfId="12">
  <tableColumns count="3">
    <tableColumn id="1" name="Identificador"/>
    <tableColumn id="2" name="Tipología"/>
    <tableColumn id="3" name="Referencias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39" name="Tabla514182240" displayName="Tabla514182240" ref="F4:G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5.xml><?xml version="1.0" encoding="utf-8"?>
<table xmlns="http://schemas.openxmlformats.org/spreadsheetml/2006/main" id="40" name="Tabla1015192341" displayName="Tabla1015192341" ref="F16:H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6.xml><?xml version="1.0" encoding="utf-8"?>
<table xmlns="http://schemas.openxmlformats.org/spreadsheetml/2006/main" id="46" name="Tabla647" displayName="Tabla647" ref="B4:F35" totalsRowCount="1" headerRowDxfId="11">
  <tableColumns count="5">
    <tableColumn id="1" name="Identificador" totalsRowDxfId="4"/>
    <tableColumn id="2" name="Tipología" totalsRowDxfId="3"/>
    <tableColumn id="3" name="Referencias" totalsRowFunction="custom" totalsRowDxfId="2">
      <totalsRowFormula>SUM(Tabla647[Referencias])</totalsRowFormula>
    </tableColumn>
    <tableColumn id="4" name="Texto completo" totalsRowFunction="custom" totalsRowDxfId="1">
      <totalsRowFormula>SUM(Tabla647[Texto completo])</totalsRowFormula>
    </tableColumn>
    <tableColumn id="5" name="Porcentaje" dataDxfId="10" totalsRowFunction="custom" totalsRowDxfId="0">
      <calculatedColumnFormula>Tabla647[[#This Row],[Texto completo]]/Tabla647[[#This Row],[Referencias]]</calculatedColumnFormula>
      <totalsRowFormula>AVERAGE(Tabla647[Porcentaje])</totalsRowFormula>
    </tableColumn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Tabla514182248" displayName="Tabla514182248" ref="H4:I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48.xml><?xml version="1.0" encoding="utf-8"?>
<table xmlns="http://schemas.openxmlformats.org/spreadsheetml/2006/main" id="48" name="Tabla1015192349" displayName="Tabla1015192349" ref="H16:J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49.xml><?xml version="1.0" encoding="utf-8"?>
<table xmlns="http://schemas.openxmlformats.org/spreadsheetml/2006/main" id="49" name="Tabla1116202450" displayName="Tabla1116202450" ref="M4:N11" totalsRowShown="0">
  <tableColumns count="2">
    <tableColumn id="1" name="Datos"/>
    <tableColumn id="2" name="Valores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36" name="Tabla12737" displayName="Tabla12737" ref="C94:N101" totalsRowShown="0" headerRowDxfId="137" dataDxfId="136">
  <tableColumns count="12">
    <tableColumn id="1" name="Colección/Año"/>
    <tableColumn id="3" name="2002" dataDxfId="135">
      <calculatedColumnFormula>E83/D83-1</calculatedColumnFormula>
    </tableColumn>
    <tableColumn id="4" name="2003" dataDxfId="134">
      <calculatedColumnFormula>F83/E83-1</calculatedColumnFormula>
    </tableColumn>
    <tableColumn id="5" name="2004" dataDxfId="133">
      <calculatedColumnFormula>G83/F83-1</calculatedColumnFormula>
    </tableColumn>
    <tableColumn id="6" name="2005" dataDxfId="132">
      <calculatedColumnFormula>H83/G83-1</calculatedColumnFormula>
    </tableColumn>
    <tableColumn id="7" name="2006" dataDxfId="131">
      <calculatedColumnFormula>I83/H83-1</calculatedColumnFormula>
    </tableColumn>
    <tableColumn id="8" name="2007" dataDxfId="130">
      <calculatedColumnFormula>J83/I83-1</calculatedColumnFormula>
    </tableColumn>
    <tableColumn id="9" name="2008" dataDxfId="129">
      <calculatedColumnFormula>K83/J83-1</calculatedColumnFormula>
    </tableColumn>
    <tableColumn id="2" name="2009" dataDxfId="128">
      <calculatedColumnFormula>L83/K83-1</calculatedColumnFormula>
    </tableColumn>
    <tableColumn id="10" name="2010" dataDxfId="127">
      <calculatedColumnFormula>M83/L83-1</calculatedColumnFormula>
    </tableColumn>
    <tableColumn id="11" name="2011" dataDxfId="126">
      <calculatedColumnFormula>N83/M83-1</calculatedColumnFormula>
    </tableColumn>
    <tableColumn id="12" name="2012" dataDxfId="125">
      <calculatedColumnFormula>O83/N83-1</calculatedColumnFormula>
    </tableColumn>
  </tableColumns>
  <tableStyleInfo name="TableStyleMedium1" showFirstColumn="0" showLastColumn="0" showRowStripes="1" showColumnStripes="0"/>
</table>
</file>

<file path=xl/tables/table50.xml><?xml version="1.0" encoding="utf-8"?>
<table xmlns="http://schemas.openxmlformats.org/spreadsheetml/2006/main" id="50" name="Tabla1217212551" displayName="Tabla1217212551" ref="M16:O23" totalsRowShown="0">
  <tableColumns count="3">
    <tableColumn id="1" name="Datos"/>
    <tableColumn id="2" name="Valores"/>
    <tableColumn id="3" name="Columna1"/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44" name="Tabla12745" displayName="Tabla12745" ref="C106:O111" totalsRowShown="0" headerRowDxfId="124" dataDxfId="123">
  <tableColumns count="13">
    <tableColumn id="1" name="Colección/Año"/>
    <tableColumn id="2" name="2001" dataDxfId="122"/>
    <tableColumn id="3" name="2002" dataDxfId="121"/>
    <tableColumn id="4" name="2003" dataDxfId="120"/>
    <tableColumn id="5" name="2004" dataDxfId="119"/>
    <tableColumn id="6" name="2005" dataDxfId="118"/>
    <tableColumn id="7" name="2006" dataDxfId="117"/>
    <tableColumn id="8" name="2007" dataDxfId="116"/>
    <tableColumn id="9" name="2008" dataDxfId="115"/>
    <tableColumn id="10" name="2009" dataDxfId="114"/>
    <tableColumn id="11" name="2010" dataDxfId="113"/>
    <tableColumn id="12" name="2011" dataDxfId="112"/>
    <tableColumn id="13" name="2012" dataDxfId="111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27" name="Tabla128" displayName="Tabla128" ref="B14:N22" totalsRowCount="1">
  <tableColumns count="13">
    <tableColumn id="1" name="BBDD" dataDxfId="110" totalsRowLabel="Total" totalsRowDxfId="109"/>
    <tableColumn id="2" name="2001" dataDxfId="108" totalsRowFunction="custom">
      <totalsRowFormula>SUM(Tabla128[2001])</totalsRowFormula>
    </tableColumn>
    <tableColumn id="3" name="2002" dataDxfId="107" totalsRowFunction="custom">
      <totalsRowFormula>SUM(Tabla128[2002])</totalsRowFormula>
    </tableColumn>
    <tableColumn id="4" name="2003" dataDxfId="106" totalsRowFunction="custom">
      <totalsRowFormula>SUM(Tabla128[2003])</totalsRowFormula>
    </tableColumn>
    <tableColumn id="5" name="2004" dataDxfId="105" totalsRowFunction="custom">
      <totalsRowFormula>SUM(Tabla128[2004])</totalsRowFormula>
    </tableColumn>
    <tableColumn id="6" name="2005" dataDxfId="104" totalsRowFunction="custom">
      <totalsRowFormula>SUM(Tabla128[2005])</totalsRowFormula>
    </tableColumn>
    <tableColumn id="7" name="2006" dataDxfId="103" totalsRowFunction="custom">
      <totalsRowFormula>SUM(Tabla128[2006])</totalsRowFormula>
    </tableColumn>
    <tableColumn id="8" name="2007" dataDxfId="102" totalsRowFunction="custom">
      <totalsRowFormula>SUM(Tabla128[2007])</totalsRowFormula>
    </tableColumn>
    <tableColumn id="9" name="2008" dataDxfId="101" totalsRowFunction="custom">
      <totalsRowFormula>SUM(Tabla128[2008])</totalsRowFormula>
    </tableColumn>
    <tableColumn id="10" name="2009" dataDxfId="100" totalsRowFunction="custom">
      <totalsRowFormula>SUM(Tabla128[2009])</totalsRowFormula>
    </tableColumn>
    <tableColumn id="11" name="2010" dataDxfId="99" totalsRowFunction="custom">
      <totalsRowFormula>SUM(Tabla128[2010])</totalsRowFormula>
    </tableColumn>
    <tableColumn id="12" name="2011" dataDxfId="98" totalsRowFunction="custom">
      <totalsRowFormula>SUM(Tabla128[2011])</totalsRowFormula>
    </tableColumn>
    <tableColumn id="13" name="2012" dataDxfId="97" totalsRowFunction="custom">
      <totalsRowFormula>SUM(Tabla128[2012])</totalsRow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42" name="Tabla1273743" displayName="Tabla1273743" ref="B63:M70" totalsRowShown="0" headerRowDxfId="96" dataDxfId="95">
  <tableColumns count="12">
    <tableColumn id="1" name="Colección/Año"/>
    <tableColumn id="3" name="2002" dataDxfId="94">
      <calculatedColumnFormula>D47-C47</calculatedColumnFormula>
    </tableColumn>
    <tableColumn id="4" name="2003" dataDxfId="93">
      <calculatedColumnFormula>E47-D47</calculatedColumnFormula>
    </tableColumn>
    <tableColumn id="5" name="2004" dataDxfId="92">
      <calculatedColumnFormula>F47-E47</calculatedColumnFormula>
    </tableColumn>
    <tableColumn id="6" name="2005" dataDxfId="91">
      <calculatedColumnFormula>G47-F47</calculatedColumnFormula>
    </tableColumn>
    <tableColumn id="7" name="2006" dataDxfId="90">
      <calculatedColumnFormula>H47-G47</calculatedColumnFormula>
    </tableColumn>
    <tableColumn id="8" name="2007" dataDxfId="89">
      <calculatedColumnFormula>I47-H47</calculatedColumnFormula>
    </tableColumn>
    <tableColumn id="9" name="2008" dataDxfId="88">
      <calculatedColumnFormula>J47-I47</calculatedColumnFormula>
    </tableColumn>
    <tableColumn id="2" name="2009" dataDxfId="87">
      <calculatedColumnFormula>K47-J47</calculatedColumnFormula>
    </tableColumn>
    <tableColumn id="10" name="2010" dataDxfId="86">
      <calculatedColumnFormula>L47-K47</calculatedColumnFormula>
    </tableColumn>
    <tableColumn id="11" name="2011" dataDxfId="85">
      <calculatedColumnFormula>M47-L47</calculatedColumnFormula>
    </tableColumn>
    <tableColumn id="12" name="2012" dataDxfId="84">
      <calculatedColumnFormula>N47-M47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31" name="Tabla31" displayName="Tabla31" ref="B55:M58" totalsRowShown="0" headerRowDxfId="83" dataDxfId="82">
  <tableColumns count="12">
    <tableColumn id="1" name="Colección/Año"/>
    <tableColumn id="2" name="2001" dataDxfId="81"/>
    <tableColumn id="3" name="2003" dataDxfId="80"/>
    <tableColumn id="4" name="2004" dataDxfId="79"/>
    <tableColumn id="5" name="2005" dataDxfId="78"/>
    <tableColumn id="6" name="2006" dataDxfId="77"/>
    <tableColumn id="7" name="2007" dataDxfId="76"/>
    <tableColumn id="8" name="2008" dataDxfId="75"/>
    <tableColumn id="9" name="2009" dataDxfId="74"/>
    <tableColumn id="10" name="2010" dataDxfId="73"/>
    <tableColumn id="11" name="2011" dataDxfId="72"/>
    <tableColumn id="12" name="2012" dataDxfId="7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drawing" Target="../drawings/drawing7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35.xml" /><Relationship Id="rId4" Type="http://schemas.openxmlformats.org/officeDocument/2006/relationships/table" Target="../tables/table36.xml" /><Relationship Id="rId5" Type="http://schemas.openxmlformats.org/officeDocument/2006/relationships/table" Target="../tables/table3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authid/detail.url?authorId=25931018600&amp;eid=2-s2.0-84055189960" TargetMode="External" /><Relationship Id="rId2" Type="http://schemas.openxmlformats.org/officeDocument/2006/relationships/hyperlink" Target="http://www.scopus.com/authid/detail.url?authorId=54419474900&amp;eid=2-s2.0-82955181224" TargetMode="External" /><Relationship Id="rId3" Type="http://schemas.openxmlformats.org/officeDocument/2006/relationships/hyperlink" Target="http://www.scopus.com/authid/detail.url?authorId=27267655900&amp;eid=2-s2.0-84855284871" TargetMode="External" /><Relationship Id="rId4" Type="http://schemas.openxmlformats.org/officeDocument/2006/relationships/hyperlink" Target="http://www.scopus.com/authid/detail.url?authorId=26665707300&amp;eid=2-s2.0-84860551619" TargetMode="External" /><Relationship Id="rId5" Type="http://schemas.openxmlformats.org/officeDocument/2006/relationships/hyperlink" Target="http://www.scopus.com/authid/detail.url?authorId=12785047100&amp;eid=2-s2.0-84855321142" TargetMode="External" /><Relationship Id="rId6" Type="http://schemas.openxmlformats.org/officeDocument/2006/relationships/hyperlink" Target="http://www.scopus.com/authid/detail.url?authorId=13410544200&amp;eid=2-s2.0-80052596273" TargetMode="External" /><Relationship Id="rId7" Type="http://schemas.openxmlformats.org/officeDocument/2006/relationships/table" Target="../tables/table38.xml" /><Relationship Id="rId8" Type="http://schemas.openxmlformats.org/officeDocument/2006/relationships/table" Target="../tables/table39.xml" /><Relationship Id="rId9" Type="http://schemas.openxmlformats.org/officeDocument/2006/relationships/table" Target="../tables/table40.xml" /><Relationship Id="rId10" Type="http://schemas.openxmlformats.org/officeDocument/2006/relationships/table" Target="../tables/table41.xml" /><Relationship Id="rId11" Type="http://schemas.openxmlformats.org/officeDocument/2006/relationships/table" Target="../tables/table4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authid/detail.url?authorId=25931018600&amp;eid=2-s2.0-84055189960" TargetMode="External" /><Relationship Id="rId2" Type="http://schemas.openxmlformats.org/officeDocument/2006/relationships/hyperlink" Target="http://www.scopus.com/authid/detail.url?authorId=54419474900&amp;eid=2-s2.0-82955181224" TargetMode="External" /><Relationship Id="rId3" Type="http://schemas.openxmlformats.org/officeDocument/2006/relationships/hyperlink" Target="http://www.scopus.com/authid/detail.url?authorId=27267655900&amp;eid=2-s2.0-84855284871" TargetMode="External" /><Relationship Id="rId4" Type="http://schemas.openxmlformats.org/officeDocument/2006/relationships/hyperlink" Target="http://www.scopus.com/authid/detail.url?authorId=26665707300&amp;eid=2-s2.0-84860551619" TargetMode="External" /><Relationship Id="rId5" Type="http://schemas.openxmlformats.org/officeDocument/2006/relationships/hyperlink" Target="http://www.scopus.com/authid/detail.url?authorId=12785047100&amp;eid=2-s2.0-84855321142" TargetMode="External" /><Relationship Id="rId6" Type="http://schemas.openxmlformats.org/officeDocument/2006/relationships/hyperlink" Target="http://www.scopus.com/authid/detail.url?authorId=13410544200&amp;eid=2-s2.0-80052596273" TargetMode="External" /><Relationship Id="rId7" Type="http://schemas.openxmlformats.org/officeDocument/2006/relationships/comments" Target="../comments12.xml" /><Relationship Id="rId8" Type="http://schemas.openxmlformats.org/officeDocument/2006/relationships/vmlDrawing" Target="../drawings/vmlDrawing8.vml" /><Relationship Id="rId9" Type="http://schemas.openxmlformats.org/officeDocument/2006/relationships/table" Target="../tables/table43.xml" /><Relationship Id="rId10" Type="http://schemas.openxmlformats.org/officeDocument/2006/relationships/table" Target="../tables/table44.xml" /><Relationship Id="rId11" Type="http://schemas.openxmlformats.org/officeDocument/2006/relationships/table" Target="../tables/table4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pus.com/record/display.url?origin=recordpage&amp;eid=2-s2.0-84859169001&amp;citeCnt=1&amp;noHighlight=false&amp;sort=r-f&amp;src=s&amp;nlo=1&amp;nlr=50&amp;nls=&amp;sid=69A6DC8ABBB03ED133C0DC8D3336BEE9.WlW7NKKC52nnQNxjqAQrlA%3a130&amp;sot=afnl&amp;sdt=cl&amp;cluster=scopubyr%2c%222012%22%25" TargetMode="External" /><Relationship Id="rId2" Type="http://schemas.openxmlformats.org/officeDocument/2006/relationships/hyperlink" Target="http://www.scopus.com/record/display.url?origin=recordpage&amp;eid=2-s2.0-84875653988&amp;citeCnt=1&amp;noHighlight=false&amp;sort=r-f&amp;src=s&amp;nlo=1&amp;nlr=50&amp;nls=&amp;sid=69A6DC8ABBB03ED133C0DC8D3336BEE9.WlW7NKKC52nnQNxjqAQrlA%3a130&amp;sot=afnl&amp;sdt=cl&amp;cluster=scopubyr%2c%222012%22%25" TargetMode="External" /><Relationship Id="rId3" Type="http://schemas.openxmlformats.org/officeDocument/2006/relationships/hyperlink" Target="http://www.scopus.com/record/display.url?origin=recordpage&amp;eid=2-s2.0-84855959260&amp;citeCnt=1&amp;noHighlight=false&amp;sort=r-f&amp;src=s&amp;nlo=1&amp;nlr=50&amp;nls=&amp;sid=69A6DC8ABBB03ED133C0DC8D3336BEE9.WlW7NKKC52nnQNxjqAQrlA%3a130&amp;sot=afnl&amp;sdt=cl&amp;cluster=scopubyr%2c%222012%22%25" TargetMode="External" /><Relationship Id="rId4" Type="http://schemas.openxmlformats.org/officeDocument/2006/relationships/hyperlink" Target="http://www.scopus.com/record/display.url?origin=recordpage&amp;eid=2-s2.0-84872138084&amp;citeCnt=1&amp;noHighlight=false&amp;sort=r-f&amp;src=s&amp;nlo=1&amp;nlr=50&amp;nls=&amp;sid=69A6DC8ABBB03ED133C0DC8D3336BEE9.WlW7NKKC52nnQNxjqAQrlA%3a130&amp;sot=afnl&amp;sdt=cl&amp;cluster=scopubyr%2c%222012%22%25" TargetMode="External" /><Relationship Id="rId5" Type="http://schemas.openxmlformats.org/officeDocument/2006/relationships/table" Target="../tables/table46.xml" /><Relationship Id="rId6" Type="http://schemas.openxmlformats.org/officeDocument/2006/relationships/table" Target="../tables/table47.xml" /><Relationship Id="rId7" Type="http://schemas.openxmlformats.org/officeDocument/2006/relationships/table" Target="../tables/table48.xml" /><Relationship Id="rId8" Type="http://schemas.openxmlformats.org/officeDocument/2006/relationships/table" Target="../tables/table49.xml" /><Relationship Id="rId9" Type="http://schemas.openxmlformats.org/officeDocument/2006/relationships/table" Target="../tables/table5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table" Target="../tables/table9.xml" /><Relationship Id="rId6" Type="http://schemas.openxmlformats.org/officeDocument/2006/relationships/table" Target="../tables/table10.xml" /><Relationship Id="rId7" Type="http://schemas.openxmlformats.org/officeDocument/2006/relationships/table" Target="../tables/table11.xml" /><Relationship Id="rId8" Type="http://schemas.openxmlformats.org/officeDocument/2006/relationships/table" Target="../tables/table12.x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table" Target="../tables/table1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table" Target="../tables/table15.xml" /><Relationship Id="rId3" Type="http://schemas.openxmlformats.org/officeDocument/2006/relationships/table" Target="../tables/table16.xml" /><Relationship Id="rId4" Type="http://schemas.openxmlformats.org/officeDocument/2006/relationships/table" Target="../tables/table17.xml" /><Relationship Id="rId5" Type="http://schemas.openxmlformats.org/officeDocument/2006/relationships/table" Target="../tables/table1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19.xml" /><Relationship Id="rId4" Type="http://schemas.openxmlformats.org/officeDocument/2006/relationships/table" Target="../tables/table20.xml" /><Relationship Id="rId5" Type="http://schemas.openxmlformats.org/officeDocument/2006/relationships/table" Target="../tables/table2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table" Target="../tables/table23.xml" /><Relationship Id="rId3" Type="http://schemas.openxmlformats.org/officeDocument/2006/relationships/table" Target="../tables/table24.xml" /><Relationship Id="rId4" Type="http://schemas.openxmlformats.org/officeDocument/2006/relationships/table" Target="../tables/table25.xml" /><Relationship Id="rId5" Type="http://schemas.openxmlformats.org/officeDocument/2006/relationships/table" Target="../tables/table2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27.xml" /><Relationship Id="rId4" Type="http://schemas.openxmlformats.org/officeDocument/2006/relationships/table" Target="../tables/table28.xml" /><Relationship Id="rId5" Type="http://schemas.openxmlformats.org/officeDocument/2006/relationships/table" Target="../tables/table2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table" Target="../tables/table31.xml" /><Relationship Id="rId3" Type="http://schemas.openxmlformats.org/officeDocument/2006/relationships/table" Target="../tables/table32.xml" /><Relationship Id="rId4" Type="http://schemas.openxmlformats.org/officeDocument/2006/relationships/table" Target="../tables/table33.xml" /><Relationship Id="rId5" Type="http://schemas.openxmlformats.org/officeDocument/2006/relationships/table" Target="../tables/table3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P111"/>
  <sheetViews>
    <sheetView workbookViewId="0" topLeftCell="B82">
      <selection activeCell="O76" sqref="O76"/>
    </sheetView>
  </sheetViews>
  <sheetFormatPr defaultColWidth="11.421875" defaultRowHeight="15" outlineLevelRow="2"/>
  <cols>
    <col min="2" max="2" width="22.421875" style="0" customWidth="1"/>
    <col min="3" max="3" width="23.28125" style="0" customWidth="1"/>
    <col min="4" max="4" width="11.421875" style="0" bestFit="1" customWidth="1"/>
    <col min="6" max="6" width="12.00390625" style="0" customWidth="1"/>
    <col min="9" max="9" width="12.7109375" style="0" customWidth="1"/>
    <col min="14" max="14" width="13.00390625" style="0" customWidth="1"/>
    <col min="15" max="16" width="12.421875" style="0" customWidth="1"/>
  </cols>
  <sheetData>
    <row r="2" spans="3:13" ht="23.25">
      <c r="C2" s="2" t="s">
        <v>48</v>
      </c>
      <c r="M2" s="2"/>
    </row>
    <row r="4" spans="3:16" ht="15">
      <c r="C4" s="147" t="s">
        <v>37</v>
      </c>
      <c r="D4" s="1" t="s">
        <v>363</v>
      </c>
      <c r="E4" s="1" t="s">
        <v>364</v>
      </c>
      <c r="F4" s="1" t="s">
        <v>356</v>
      </c>
      <c r="G4" s="148" t="s">
        <v>357</v>
      </c>
      <c r="H4" s="148" t="s">
        <v>358</v>
      </c>
      <c r="I4" s="148" t="s">
        <v>359</v>
      </c>
      <c r="J4" s="148" t="s">
        <v>8</v>
      </c>
      <c r="K4" s="148" t="s">
        <v>9</v>
      </c>
      <c r="L4" s="148" t="s">
        <v>10</v>
      </c>
      <c r="M4" s="149" t="s">
        <v>11</v>
      </c>
      <c r="N4" s="149" t="s">
        <v>397</v>
      </c>
      <c r="O4" s="143"/>
      <c r="P4" s="143"/>
    </row>
    <row r="5" spans="3:16" ht="15">
      <c r="C5" s="144" t="s">
        <v>0</v>
      </c>
      <c r="D5" s="22">
        <f>BBDD!D10/BBDD!C10-1</f>
        <v>0.215605749486653</v>
      </c>
      <c r="E5" s="22">
        <f>BBDD!E10/BBDD!D10-1</f>
        <v>0.26858108108108114</v>
      </c>
      <c r="F5" s="22">
        <f>BBDD!F10/BBDD!E10-1</f>
        <v>0.3169107856191744</v>
      </c>
      <c r="G5" s="22">
        <f>BBDD!G10/BBDD!F10-1</f>
        <v>0.18301314459049545</v>
      </c>
      <c r="H5" s="22">
        <f>BBDD!H10/BBDD!G10-1</f>
        <v>0.11965811965811968</v>
      </c>
      <c r="I5" s="22">
        <f>BBDD!I10/BBDD!H10-1</f>
        <v>0.22290076335877873</v>
      </c>
      <c r="J5" s="22">
        <f>BBDD!J10/BBDD!I10-1</f>
        <v>0.04307116104868913</v>
      </c>
      <c r="K5" s="22">
        <f>BBDD!K10/BBDD!J10-1</f>
        <v>0.16576900059844402</v>
      </c>
      <c r="L5" s="22">
        <f>BBDD!L10/BBDD!K10-1</f>
        <v>0.03336755646817258</v>
      </c>
      <c r="M5" s="23">
        <f>BBDD!M10/BBDD!L10-1</f>
        <v>0.15002483854942872</v>
      </c>
      <c r="N5" s="23">
        <f>BBDD!N10/BBDD!M10-1</f>
        <v>-0.0004319654427645814</v>
      </c>
      <c r="O5" s="143"/>
      <c r="P5" s="143"/>
    </row>
    <row r="6" spans="3:16" ht="15">
      <c r="C6" s="179" t="s">
        <v>13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  <c r="N6" s="25">
        <v>0</v>
      </c>
      <c r="O6" s="143"/>
      <c r="P6" s="143"/>
    </row>
    <row r="7" spans="3:16" ht="15">
      <c r="C7" s="144" t="s">
        <v>33</v>
      </c>
      <c r="D7" s="22">
        <f>BBDD!D74/BBDD!C74-1</f>
        <v>0.32432432432432434</v>
      </c>
      <c r="E7" s="22">
        <f>BBDD!E74/BBDD!D74-1</f>
        <v>0.29591836734693877</v>
      </c>
      <c r="F7" s="22">
        <f>BBDD!F74/BBDD!E74-1</f>
        <v>-0.26771653543307083</v>
      </c>
      <c r="G7" s="22">
        <f>BBDD!G74/BBDD!F74-1</f>
        <v>0.4193548387096775</v>
      </c>
      <c r="H7" s="22">
        <f>BBDD!H74/BBDD!G74-1</f>
        <v>-0.12878787878787878</v>
      </c>
      <c r="I7" s="22">
        <f>BBDD!I74/BBDD!H74-1</f>
        <v>0.23478260869565215</v>
      </c>
      <c r="J7" s="22">
        <f>BBDD!J74/BBDD!I74-1</f>
        <v>0.15492957746478875</v>
      </c>
      <c r="K7" s="22">
        <f>BBDD!K74/BBDD!J74-1</f>
        <v>-0.054878048780487854</v>
      </c>
      <c r="L7" s="22">
        <f>BBDD!$L$74/BBDD!$K$74-1</f>
        <v>0.3032258064516129</v>
      </c>
      <c r="M7" s="23">
        <f>BBDD!M74/BBDD!L74-1</f>
        <v>0.1633663366336633</v>
      </c>
      <c r="N7" s="23">
        <f>BBDD!N74/BBDD!M74-1</f>
        <v>0.025531914893617058</v>
      </c>
      <c r="O7" s="143"/>
      <c r="P7" s="143"/>
    </row>
    <row r="8" spans="3:16" ht="15">
      <c r="C8" s="145" t="s">
        <v>36</v>
      </c>
      <c r="D8" s="24">
        <f>BBDD!D39/BBDD!C39-1</f>
        <v>0.20134228187919456</v>
      </c>
      <c r="E8" s="24">
        <f>BBDD!E39/BBDD!D39-1</f>
        <v>0.13407821229050287</v>
      </c>
      <c r="F8" s="24">
        <f>BBDD!F39/BBDD!E39-1</f>
        <v>0.1576354679802956</v>
      </c>
      <c r="G8" s="24">
        <f>BBDD!G39/BBDD!F39-1</f>
        <v>-0.04255319148936165</v>
      </c>
      <c r="H8" s="24">
        <f>BBDD!H39/BBDD!G39-1</f>
        <v>0.0888888888888888</v>
      </c>
      <c r="I8" s="24">
        <f>BBDD!I39/BBDD!H39-1</f>
        <v>0.03673469387755102</v>
      </c>
      <c r="J8" s="24">
        <f>BBDD!J39/BBDD!I39-1</f>
        <v>0.1220472440944882</v>
      </c>
      <c r="K8" s="24">
        <f>BBDD!K39/BBDD!J39-1</f>
        <v>0.33333333333333326</v>
      </c>
      <c r="L8" s="24">
        <f>BBDD!$L$39/BBDD!$K$39-1</f>
        <v>0.2131578947368422</v>
      </c>
      <c r="M8" s="25">
        <f>BBDD!M39/BBDD!L39-1</f>
        <v>0.10845986984815625</v>
      </c>
      <c r="N8" s="25">
        <f>BBDD!N39/BBDD!M39-1</f>
        <v>0.0606653620352251</v>
      </c>
      <c r="O8" s="143"/>
      <c r="P8" s="143"/>
    </row>
    <row r="9" spans="3:14" ht="15">
      <c r="C9" s="144" t="s">
        <v>47</v>
      </c>
      <c r="D9" s="26">
        <f>BBDD!D49/BBDD!C49-1</f>
        <v>0.10909090909090913</v>
      </c>
      <c r="E9" s="26">
        <f>BBDD!E49/BBDD!D49-1</f>
        <v>0.23278688524590163</v>
      </c>
      <c r="F9" s="26">
        <f>BBDD!F49/BBDD!E49-1</f>
        <v>0.18484042553191493</v>
      </c>
      <c r="G9" s="26">
        <f>BBDD!G49/BBDD!F49-1</f>
        <v>0.1425364758698091</v>
      </c>
      <c r="H9" s="26">
        <f>BBDD!H49/BBDD!G49-1</f>
        <v>0.05992141453831046</v>
      </c>
      <c r="I9" s="26">
        <f>BBDD!I49/BBDD!H49-1</f>
        <v>0.2038924930491195</v>
      </c>
      <c r="J9" s="26">
        <f>BBDD!J49/BBDD!I49-1</f>
        <v>0.056966897613548895</v>
      </c>
      <c r="K9" s="26">
        <f>BBDD!K49/BBDD!J49-1</f>
        <v>0.15731973780043695</v>
      </c>
      <c r="L9" s="26">
        <f>BBDD!L49/BBDD!K49-1</f>
        <v>-0.06796727501573319</v>
      </c>
      <c r="M9" s="27">
        <f>BBDD!M49/BBDD!L49-1</f>
        <v>0.1883862255232951</v>
      </c>
      <c r="N9" s="27">
        <f>BBDD!N49/BBDD!M49-1</f>
        <v>-0.045454545454545414</v>
      </c>
    </row>
    <row r="10" spans="3:14" ht="15" outlineLevel="2">
      <c r="C10" s="146" t="s">
        <v>42</v>
      </c>
      <c r="D10" s="28">
        <f>BBDD!D58/BBDD!C58-1</f>
        <v>0.4444444444444444</v>
      </c>
      <c r="E10" s="28">
        <f>BBDD!E58/BBDD!D58-1</f>
        <v>0</v>
      </c>
      <c r="F10" s="28">
        <f>BBDD!F58/BBDD!E58-1</f>
        <v>-0.07692307692307687</v>
      </c>
      <c r="G10" s="28">
        <f>BBDD!G58/BBDD!F58-1</f>
        <v>-0.08333333333333337</v>
      </c>
      <c r="H10" s="28">
        <f>BBDD!H58/BBDD!G58-1</f>
        <v>0.9090909090909092</v>
      </c>
      <c r="I10" s="28">
        <f>BBDD!I58/BBDD!H58-1</f>
        <v>0.23809523809523814</v>
      </c>
      <c r="J10" s="28">
        <f>BBDD!J58/BBDD!I58-1</f>
        <v>-0.3076923076923077</v>
      </c>
      <c r="K10" s="28">
        <f>BBDD!K58/BBDD!J58-1</f>
        <v>0.7777777777777777</v>
      </c>
      <c r="L10" s="28">
        <f>BBDD!$L$58/BBDD!$K$58-1</f>
        <v>0.71875</v>
      </c>
      <c r="M10" s="29">
        <f>BBDD!M58/BBDD!L58-1</f>
        <v>0.3090909090909091</v>
      </c>
      <c r="N10" s="29">
        <f>BBDD!N58/BBDD!M58-1</f>
        <v>-0.05555555555555558</v>
      </c>
    </row>
    <row r="11" spans="3:14" s="142" customFormat="1" ht="15.75" outlineLevel="2" thickBot="1">
      <c r="C11" s="90" t="s">
        <v>354</v>
      </c>
      <c r="D11" s="28">
        <f>Tabla32[2002]/Tabla32[2001]-1</f>
        <v>0.04123711340206193</v>
      </c>
      <c r="E11" s="28">
        <f>Tabla32[2003]/Tabla32[2002]-1</f>
        <v>0.2376237623762376</v>
      </c>
      <c r="F11" s="28">
        <f>Tabla32[2004]/Tabla32[2003]-1</f>
        <v>0.3600000000000001</v>
      </c>
      <c r="G11" s="28">
        <f>Tabla32[2005]/Tabla32[2004]-1</f>
        <v>-0.3529411764705882</v>
      </c>
      <c r="H11" s="28">
        <f>Tabla32[2006]/Tabla32[2005]-1</f>
        <v>-0.18181818181818177</v>
      </c>
      <c r="I11" s="28">
        <f>Tabla32[2007]/Tabla32[2006]-1</f>
        <v>0.2777777777777777</v>
      </c>
      <c r="J11" s="28">
        <f>Tabla32[2008]/Tabla32[2007]-1</f>
        <v>-0.06956521739130439</v>
      </c>
      <c r="K11" s="193">
        <f>Tabla32[2009]/Tabla32[2008]-1</f>
        <v>0</v>
      </c>
      <c r="L11" s="193">
        <f>Tabla32[2010]/Tabla32[2009]-1</f>
        <v>0.028037383177569986</v>
      </c>
      <c r="M11" s="193">
        <f>Tabla32[2011]/Tabla32[2010]-1</f>
        <v>0.045454545454545414</v>
      </c>
      <c r="N11" s="193">
        <f>Tabla32[2012]/Tabla32[2011]-1</f>
        <v>0.04347826086956519</v>
      </c>
    </row>
    <row r="12" spans="3:14" ht="15.75" thickTop="1">
      <c r="C12" s="150" t="s">
        <v>12</v>
      </c>
      <c r="D12" s="151">
        <f>Tabla1[[#Totals],[2002]]/Tabla1[[#Totals],[2001]]-1</f>
        <v>0.16617862371888736</v>
      </c>
      <c r="E12" s="151">
        <f>Tabla1[[#Totals],[2003]]/Tabla1[[#Totals],[2002]]-1</f>
        <v>0.23728813559322037</v>
      </c>
      <c r="F12" s="151">
        <f>Tabla1[[#Totals],[2004]]/Tabla1[[#Totals],[2003]]-1</f>
        <v>0.21258244545915783</v>
      </c>
      <c r="G12" s="151">
        <f>Tabla1[[#Totals],[2005]]/Tabla1[[#Totals],[2004]]-1</f>
        <v>0.11548117154811721</v>
      </c>
      <c r="H12" s="151">
        <f>Tabla1[[#Totals],[2006]]/Tabla1[[#Totals],[2005]]-1</f>
        <v>0.0727681920480121</v>
      </c>
      <c r="I12" s="151">
        <f>Tabla1[[#Totals],[2007]]/Tabla1[[#Totals],[2006]]-1</f>
        <v>0.20209790209790213</v>
      </c>
      <c r="J12" s="151">
        <f>Tabla1[[#Totals],[2008]]/Tabla1[[#Totals],[2007]]-1</f>
        <v>0.05235602094240832</v>
      </c>
      <c r="K12" s="151">
        <f>Tabla1[[#Totals],[2009]]/Tabla1[[#Totals],[2008]]-1</f>
        <v>0.16390270867882806</v>
      </c>
      <c r="L12" s="151">
        <f>Tabla1[[#Totals],[2010]]/Tabla1[[#Totals],[2009]]-1</f>
        <v>0.02635953455236284</v>
      </c>
      <c r="M12" s="151">
        <f>Tabla1[[#Totals],[2011]]/Tabla1[[#Totals],[2010]]-1</f>
        <v>0.15872281351226292</v>
      </c>
      <c r="N12" s="151">
        <f>Tabla1[[#Totals],[2012]]/Tabla1[[#Totals],[2011]]-1</f>
        <v>-0.008586261980830678</v>
      </c>
    </row>
    <row r="13" spans="4:7" ht="15">
      <c r="D13" s="4"/>
      <c r="E13" s="4"/>
      <c r="F13" s="4"/>
      <c r="G13" s="4"/>
    </row>
    <row r="14" spans="4:7" ht="15">
      <c r="D14" s="4"/>
      <c r="E14" s="4"/>
      <c r="F14" s="4"/>
      <c r="G14" s="4"/>
    </row>
    <row r="15" spans="4:6" ht="15">
      <c r="D15" s="4"/>
      <c r="E15" s="4"/>
      <c r="F15" s="4"/>
    </row>
    <row r="33" ht="23.25">
      <c r="C33" s="2" t="s">
        <v>55</v>
      </c>
    </row>
    <row r="35" spans="3:15" ht="15">
      <c r="C35" s="77" t="s">
        <v>51</v>
      </c>
      <c r="D35" s="1" t="s">
        <v>362</v>
      </c>
      <c r="E35" s="1" t="s">
        <v>363</v>
      </c>
      <c r="F35" s="1" t="s">
        <v>364</v>
      </c>
      <c r="G35" s="171" t="s">
        <v>356</v>
      </c>
      <c r="H35" s="171" t="s">
        <v>357</v>
      </c>
      <c r="I35" s="171" t="s">
        <v>358</v>
      </c>
      <c r="J35" s="171" t="s">
        <v>359</v>
      </c>
      <c r="K35" s="1" t="s">
        <v>8</v>
      </c>
      <c r="L35" s="1" t="s">
        <v>9</v>
      </c>
      <c r="M35" s="1" t="s">
        <v>10</v>
      </c>
      <c r="N35" s="1" t="s">
        <v>11</v>
      </c>
      <c r="O35" s="1" t="s">
        <v>397</v>
      </c>
    </row>
    <row r="36" spans="3:15" ht="15">
      <c r="C36" s="77" t="s">
        <v>0</v>
      </c>
      <c r="D36" s="192">
        <f>BBDD!C10</f>
        <v>487</v>
      </c>
      <c r="E36" s="192">
        <f>BBDD!D10</f>
        <v>592</v>
      </c>
      <c r="F36" s="192">
        <f>BBDD!E10</f>
        <v>751</v>
      </c>
      <c r="G36" s="192">
        <f>BBDD!F10</f>
        <v>989</v>
      </c>
      <c r="H36" s="192">
        <f>BBDD!G10</f>
        <v>1170</v>
      </c>
      <c r="I36" s="192">
        <f>BBDD!H10</f>
        <v>1310</v>
      </c>
      <c r="J36" s="192">
        <f>BBDD!I10</f>
        <v>1602</v>
      </c>
      <c r="K36" s="192">
        <f>BBDD!J10</f>
        <v>1671</v>
      </c>
      <c r="L36" s="192">
        <f>BBDD!K10</f>
        <v>1948</v>
      </c>
      <c r="M36" s="192">
        <f>BBDD!L10</f>
        <v>2013</v>
      </c>
      <c r="N36" s="192">
        <f>BBDD!M10</f>
        <v>2315</v>
      </c>
      <c r="O36" s="192">
        <f>BBDD!N10</f>
        <v>2314</v>
      </c>
    </row>
    <row r="37" spans="3:15" ht="15">
      <c r="C37" s="180" t="s">
        <v>13</v>
      </c>
      <c r="D37" s="167"/>
      <c r="E37" s="167"/>
      <c r="F37" s="167"/>
      <c r="G37" s="192">
        <v>0</v>
      </c>
      <c r="H37" s="3">
        <f>BBDD!G32</f>
        <v>0</v>
      </c>
      <c r="I37" s="3">
        <f>BBDD!H32</f>
        <v>0</v>
      </c>
      <c r="J37" s="3">
        <f>BBDD!I32</f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3:15" ht="15">
      <c r="C38" s="77" t="s">
        <v>33</v>
      </c>
      <c r="D38" s="192">
        <f>BBDD!C74</f>
        <v>74</v>
      </c>
      <c r="E38" s="192">
        <f>BBDD!D74</f>
        <v>98</v>
      </c>
      <c r="F38" s="192">
        <f>BBDD!E74</f>
        <v>127</v>
      </c>
      <c r="G38" s="192">
        <f>BBDD!F74</f>
        <v>93</v>
      </c>
      <c r="H38" s="3">
        <f>BBDD!G74</f>
        <v>132</v>
      </c>
      <c r="I38" s="3">
        <f>BBDD!H74</f>
        <v>115</v>
      </c>
      <c r="J38" s="3">
        <f>BBDD!I74</f>
        <v>142</v>
      </c>
      <c r="K38" s="3">
        <f>BBDD!J74</f>
        <v>164</v>
      </c>
      <c r="L38" s="3">
        <f>BBDD!K74</f>
        <v>155</v>
      </c>
      <c r="M38" s="3">
        <f>BBDD!L74</f>
        <v>202</v>
      </c>
      <c r="N38" s="3">
        <f>BBDD!M74</f>
        <v>235</v>
      </c>
      <c r="O38" s="3">
        <f>BBDD!N74</f>
        <v>241</v>
      </c>
    </row>
    <row r="39" spans="3:15" ht="15">
      <c r="C39" s="77" t="s">
        <v>36</v>
      </c>
      <c r="D39" s="192">
        <f>BBDD!C39</f>
        <v>149</v>
      </c>
      <c r="E39" s="192">
        <f>BBDD!D39</f>
        <v>179</v>
      </c>
      <c r="F39" s="192">
        <f>BBDD!E39</f>
        <v>203</v>
      </c>
      <c r="G39" s="192">
        <f>BBDD!F39</f>
        <v>235</v>
      </c>
      <c r="H39" s="3">
        <f>BBDD!G39</f>
        <v>225</v>
      </c>
      <c r="I39" s="3">
        <f>BBDD!H39</f>
        <v>245</v>
      </c>
      <c r="J39" s="3">
        <f>BBDD!I39</f>
        <v>254</v>
      </c>
      <c r="K39" s="3">
        <f>BBDD!J39</f>
        <v>285</v>
      </c>
      <c r="L39" s="3">
        <f>BBDD!K39</f>
        <v>380</v>
      </c>
      <c r="M39" s="3">
        <f>BBDD!L39</f>
        <v>461</v>
      </c>
      <c r="N39" s="3">
        <f>BBDD!M39</f>
        <v>511</v>
      </c>
      <c r="O39" s="3">
        <f>BBDD!N39</f>
        <v>542</v>
      </c>
    </row>
    <row r="40" spans="3:15" ht="15">
      <c r="C40" s="77" t="s">
        <v>47</v>
      </c>
      <c r="D40" s="192">
        <f>BBDD!C49</f>
        <v>550</v>
      </c>
      <c r="E40" s="192">
        <f>BBDD!D49</f>
        <v>610</v>
      </c>
      <c r="F40" s="192">
        <f>BBDD!E49</f>
        <v>752</v>
      </c>
      <c r="G40" s="192">
        <f>BBDD!F49</f>
        <v>891</v>
      </c>
      <c r="H40" s="3">
        <f>BBDD!G49</f>
        <v>1018</v>
      </c>
      <c r="I40" s="3">
        <f>BBDD!H49</f>
        <v>1079</v>
      </c>
      <c r="J40" s="3">
        <f>BBDD!I49</f>
        <v>1299</v>
      </c>
      <c r="K40" s="3">
        <f>BBDD!J49</f>
        <v>1373</v>
      </c>
      <c r="L40" s="3">
        <f>BBDD!K49</f>
        <v>1589</v>
      </c>
      <c r="M40" s="3">
        <f>BBDD!L49</f>
        <v>1481</v>
      </c>
      <c r="N40" s="3">
        <f>BBDD!M49</f>
        <v>1760</v>
      </c>
      <c r="O40" s="3">
        <f>BBDD!N49</f>
        <v>1680</v>
      </c>
    </row>
    <row r="41" spans="3:15" ht="15">
      <c r="C41" s="77" t="s">
        <v>42</v>
      </c>
      <c r="D41" s="192">
        <f>BBDD!C58</f>
        <v>9</v>
      </c>
      <c r="E41" s="192">
        <f>BBDD!D58</f>
        <v>13</v>
      </c>
      <c r="F41" s="192">
        <f>BBDD!E58</f>
        <v>13</v>
      </c>
      <c r="G41" s="192">
        <f>BBDD!F58</f>
        <v>12</v>
      </c>
      <c r="H41" s="3">
        <f>BBDD!G58</f>
        <v>11</v>
      </c>
      <c r="I41" s="3">
        <f>BBDD!H58</f>
        <v>21</v>
      </c>
      <c r="J41" s="3">
        <f>BBDD!I58</f>
        <v>26</v>
      </c>
      <c r="K41" s="3">
        <f>BBDD!J58</f>
        <v>18</v>
      </c>
      <c r="L41" s="3">
        <f>BBDD!K58</f>
        <v>32</v>
      </c>
      <c r="M41" s="3">
        <f>BBDD!L58</f>
        <v>55</v>
      </c>
      <c r="N41" s="3">
        <f>BBDD!M58</f>
        <v>72</v>
      </c>
      <c r="O41" s="3">
        <f>BBDD!N58</f>
        <v>68</v>
      </c>
    </row>
    <row r="42" spans="3:15" ht="15">
      <c r="C42" s="178" t="s">
        <v>354</v>
      </c>
      <c r="D42" s="192">
        <f>Tabla32[2001]</f>
        <v>97</v>
      </c>
      <c r="E42" s="192">
        <f>Tabla32[2002]</f>
        <v>101</v>
      </c>
      <c r="F42" s="192">
        <f>Tabla32[2003]</f>
        <v>125</v>
      </c>
      <c r="G42" s="192">
        <f>Tabla32[2004]</f>
        <v>170</v>
      </c>
      <c r="H42" s="3">
        <f>Tabla32[2005]</f>
        <v>110</v>
      </c>
      <c r="I42" s="3">
        <f>Tabla32[2006]</f>
        <v>90</v>
      </c>
      <c r="J42" s="3">
        <f>Tabla32[2007]</f>
        <v>115</v>
      </c>
      <c r="K42" s="3">
        <f>Tabla32[2008]</f>
        <v>107</v>
      </c>
      <c r="L42" s="3">
        <f>Tabla32[2009]</f>
        <v>107</v>
      </c>
      <c r="M42" s="3">
        <f>Tabla32[2010]</f>
        <v>110</v>
      </c>
      <c r="N42" s="3">
        <f>Tabla32[2011]</f>
        <v>115</v>
      </c>
      <c r="O42" s="3">
        <f>Tabla32[2012]</f>
        <v>120</v>
      </c>
    </row>
    <row r="43" spans="3:15" ht="15">
      <c r="C43" s="177" t="s">
        <v>12</v>
      </c>
      <c r="D43">
        <f>SUM([2001])</f>
        <v>1366</v>
      </c>
      <c r="E43" s="170">
        <f>SUM([2002])</f>
        <v>1593</v>
      </c>
      <c r="F43" s="170">
        <f>SUM([2003])</f>
        <v>1971</v>
      </c>
      <c r="G43" s="170">
        <f>SUM([2004])</f>
        <v>2390</v>
      </c>
      <c r="H43" s="170">
        <f>SUM([2005])</f>
        <v>2666</v>
      </c>
      <c r="I43" s="170">
        <f>SUM([2006])</f>
        <v>2860</v>
      </c>
      <c r="J43" s="170">
        <f>SUM([2007])</f>
        <v>3438</v>
      </c>
      <c r="K43" s="170">
        <f>SUM([2008])</f>
        <v>3618</v>
      </c>
      <c r="L43" s="170">
        <f>SUM([2009])</f>
        <v>4211</v>
      </c>
      <c r="M43" s="170">
        <f>SUM([2010])</f>
        <v>4322</v>
      </c>
      <c r="N43" s="170">
        <f>SUM([2011])</f>
        <v>5008</v>
      </c>
      <c r="O43" s="218">
        <f>SUM([2012])</f>
        <v>4965</v>
      </c>
    </row>
    <row r="46" ht="23.25">
      <c r="C46" s="2" t="s">
        <v>35</v>
      </c>
    </row>
    <row r="48" spans="3:15" ht="15">
      <c r="C48" t="s">
        <v>54</v>
      </c>
      <c r="D48" s="1" t="s">
        <v>362</v>
      </c>
      <c r="E48" s="1" t="s">
        <v>363</v>
      </c>
      <c r="F48" s="1" t="s">
        <v>364</v>
      </c>
      <c r="G48" s="1" t="s">
        <v>356</v>
      </c>
      <c r="H48" s="1" t="s">
        <v>357</v>
      </c>
      <c r="I48" s="1" t="s">
        <v>358</v>
      </c>
      <c r="J48" s="1" t="s">
        <v>359</v>
      </c>
      <c r="K48" s="1" t="s">
        <v>8</v>
      </c>
      <c r="L48" s="1" t="s">
        <v>9</v>
      </c>
      <c r="M48" s="1" t="s">
        <v>10</v>
      </c>
      <c r="N48" s="1" t="s">
        <v>11</v>
      </c>
      <c r="O48" s="1" t="s">
        <v>397</v>
      </c>
    </row>
    <row r="49" spans="3:15" ht="15">
      <c r="C49" t="s">
        <v>52</v>
      </c>
      <c r="D49" s="184">
        <f>Presupuesto!C7</f>
        <v>1677787</v>
      </c>
      <c r="E49" s="184">
        <f>Presupuesto!D7</f>
        <v>1332074</v>
      </c>
      <c r="F49" s="184">
        <f>Presupuesto!E7</f>
        <v>1434238</v>
      </c>
      <c r="G49" s="184">
        <f>Presupuesto!F7</f>
        <v>1427300</v>
      </c>
      <c r="H49" s="184">
        <f>Presupuesto!G7</f>
        <v>1756683</v>
      </c>
      <c r="I49" s="184">
        <f>Presupuesto!H7</f>
        <v>1572948</v>
      </c>
      <c r="J49" s="184">
        <f>Presupuesto!I7</f>
        <v>1886727.83</v>
      </c>
      <c r="K49" s="184">
        <f>Presupuesto!J7</f>
        <v>1914811</v>
      </c>
      <c r="L49" s="184">
        <f>Presupuesto!K7</f>
        <v>1903030</v>
      </c>
      <c r="M49" s="184">
        <f>Presupuesto!L7</f>
        <v>1758033.4</v>
      </c>
      <c r="N49" s="184">
        <f>Presupuesto!M7</f>
        <v>1662074</v>
      </c>
      <c r="O49" s="223">
        <f>Presupuesto!N7</f>
        <v>1671583</v>
      </c>
    </row>
    <row r="50" spans="3:15" s="143" customFormat="1" ht="15">
      <c r="C50" t="s">
        <v>53</v>
      </c>
      <c r="D50" s="78">
        <f aca="true" t="shared" si="0" ref="D50:F50">D49/1000</f>
        <v>1677.787</v>
      </c>
      <c r="E50" s="78">
        <f t="shared" si="0"/>
        <v>1332.074</v>
      </c>
      <c r="F50" s="78">
        <f t="shared" si="0"/>
        <v>1434.238</v>
      </c>
      <c r="G50" s="78">
        <f aca="true" t="shared" si="1" ref="G50:J50">G49/1000</f>
        <v>1427.3</v>
      </c>
      <c r="H50" s="185">
        <f t="shared" si="1"/>
        <v>1756.683</v>
      </c>
      <c r="I50" s="185">
        <f t="shared" si="1"/>
        <v>1572.948</v>
      </c>
      <c r="J50" s="185">
        <f t="shared" si="1"/>
        <v>1886.72783</v>
      </c>
      <c r="K50" s="185">
        <f>K49/1000</f>
        <v>1914.811</v>
      </c>
      <c r="L50" s="185">
        <f>L49/1000</f>
        <v>1903.03</v>
      </c>
      <c r="M50" s="185">
        <f>M49/1000</f>
        <v>1758.0333999999998</v>
      </c>
      <c r="N50" s="185">
        <f>N49/1000</f>
        <v>1662.074</v>
      </c>
      <c r="O50" s="224">
        <f>O49/1000</f>
        <v>1671.583</v>
      </c>
    </row>
    <row r="51" spans="4:11" s="143" customFormat="1" ht="15">
      <c r="D51" s="78"/>
      <c r="E51" s="78"/>
      <c r="F51" s="78"/>
      <c r="G51" s="78"/>
      <c r="H51" s="78"/>
      <c r="I51" s="78"/>
      <c r="J51" s="78"/>
      <c r="K51" s="78"/>
    </row>
    <row r="52" spans="4:11" s="143" customFormat="1" ht="15">
      <c r="D52" s="78"/>
      <c r="E52" s="78"/>
      <c r="F52" s="78"/>
      <c r="G52" s="78"/>
      <c r="H52" s="78"/>
      <c r="I52" s="78"/>
      <c r="J52" s="78"/>
      <c r="K52" s="78"/>
    </row>
    <row r="53" spans="3:11" s="143" customFormat="1" ht="23.25">
      <c r="C53" s="2" t="s">
        <v>49</v>
      </c>
      <c r="G53" s="78"/>
      <c r="H53" s="78"/>
      <c r="I53" s="78"/>
      <c r="J53" s="78"/>
      <c r="K53" s="78"/>
    </row>
    <row r="54" spans="7:15" s="143" customFormat="1" ht="15">
      <c r="G54" s="78"/>
      <c r="H54" s="78"/>
      <c r="I54" s="78"/>
      <c r="J54" s="78"/>
      <c r="K54" s="78"/>
      <c r="L54" s="78"/>
      <c r="M54" s="78"/>
      <c r="N54" s="78"/>
      <c r="O54" s="78"/>
    </row>
    <row r="55" spans="3:14" s="143" customFormat="1" ht="15">
      <c r="C55" s="7" t="s">
        <v>34</v>
      </c>
      <c r="D55" s="8">
        <v>2002</v>
      </c>
      <c r="E55" s="8">
        <v>2003</v>
      </c>
      <c r="F55" s="8">
        <v>2004</v>
      </c>
      <c r="G55" s="8">
        <v>2005</v>
      </c>
      <c r="H55" s="8">
        <v>2006</v>
      </c>
      <c r="I55" s="8">
        <v>2007</v>
      </c>
      <c r="J55" s="8">
        <v>2008</v>
      </c>
      <c r="K55" s="8" t="s">
        <v>9</v>
      </c>
      <c r="L55" s="8" t="s">
        <v>10</v>
      </c>
      <c r="M55" s="9" t="s">
        <v>11</v>
      </c>
      <c r="N55" s="9" t="s">
        <v>397</v>
      </c>
    </row>
    <row r="56" spans="3:14" s="143" customFormat="1" ht="15">
      <c r="C56" s="10" t="s">
        <v>2</v>
      </c>
      <c r="D56" s="11">
        <f>Presupuesto!D5/Presupuesto!C5-1</f>
        <v>-0.20630070601410466</v>
      </c>
      <c r="E56" s="11">
        <f>Presupuesto!E5/Presupuesto!D5-1</f>
        <v>-0.04654546955202532</v>
      </c>
      <c r="F56" s="11">
        <f>Presupuesto!F5/Presupuesto!E5-1</f>
        <v>-0.15561773147217794</v>
      </c>
      <c r="G56" s="11">
        <f>Presupuesto!G5/Presupuesto!F5-1</f>
        <v>0.550488857753439</v>
      </c>
      <c r="H56" s="11">
        <f>Presupuesto!H5/Presupuesto!G5-1</f>
        <v>-0.4177873705040983</v>
      </c>
      <c r="I56" s="11">
        <f>Presupuesto!I5/Presupuesto!H5-1</f>
        <v>0.012960006597741991</v>
      </c>
      <c r="J56" s="11">
        <f>Presupuesto!J5/Presupuesto!I5-1</f>
        <v>-0.11306876395152099</v>
      </c>
      <c r="K56" s="11">
        <f>Presupuesto!K5/Presupuesto!J5-1</f>
        <v>-0.18323506661971534</v>
      </c>
      <c r="L56" s="11">
        <f>Presupuesto!L5/Presupuesto!K5-1</f>
        <v>-0.20456458254645316</v>
      </c>
      <c r="M56" s="11">
        <f>Presupuesto!M5/Presupuesto!L5-1</f>
        <v>-0.17586954056913995</v>
      </c>
      <c r="N56" s="11">
        <f>Presupuesto!N5/Presupuesto!M5-1</f>
        <v>-0.15252993965694117</v>
      </c>
    </row>
    <row r="57" spans="3:14" ht="15.75" thickBot="1">
      <c r="C57" s="172" t="s">
        <v>50</v>
      </c>
      <c r="D57" s="186" t="s">
        <v>365</v>
      </c>
      <c r="E57" s="11">
        <f>Presupuesto!E6/Presupuesto!D6-1</f>
        <v>0.4757140403005682</v>
      </c>
      <c r="F57" s="11">
        <f>Presupuesto!F6/Presupuesto!E6-1</f>
        <v>0.3105763862091564</v>
      </c>
      <c r="G57" s="11">
        <f>Presupuesto!G6/Presupuesto!F6-1</f>
        <v>-0.200126328048281</v>
      </c>
      <c r="H57" s="11">
        <f>Presupuesto!H6/Presupuesto!G6-1</f>
        <v>0.713637934012783</v>
      </c>
      <c r="I57" s="11">
        <f>Presupuesto!I6/Presupuesto!H6-1</f>
        <v>0.36504696382219626</v>
      </c>
      <c r="J57" s="11">
        <f>Presupuesto!J6/Presupuesto!I6-1</f>
        <v>0.0991635128066497</v>
      </c>
      <c r="K57" s="11">
        <f>Presupuesto!K6/Presupuesto!J6-1</f>
        <v>0.08796498100845151</v>
      </c>
      <c r="L57" s="11">
        <f>Presupuesto!L6/Presupuesto!K6-1</f>
        <v>-0.024971531491793875</v>
      </c>
      <c r="M57" s="11">
        <f>Presupuesto!M6/Presupuesto!L6-1</f>
        <v>-0.015103480766913147</v>
      </c>
      <c r="N57" s="11">
        <f>Presupuesto!N6/Presupuesto!M6-1</f>
        <v>0.048825094256569335</v>
      </c>
    </row>
    <row r="58" spans="3:14" s="143" customFormat="1" ht="15.75" thickTop="1">
      <c r="C58" s="12" t="s">
        <v>12</v>
      </c>
      <c r="D58" s="173">
        <f>Presupuesto!D7/Presupuesto!C7-1</f>
        <v>-0.2060529733512061</v>
      </c>
      <c r="E58" s="173">
        <f>Presupuesto!E7/Presupuesto!D7-1</f>
        <v>0.07669543884198626</v>
      </c>
      <c r="F58" s="173">
        <f>Presupuesto!F7/Presupuesto!E7-1</f>
        <v>-0.004837411921870705</v>
      </c>
      <c r="G58" s="173">
        <f>Presupuesto!G7/Presupuesto!F7-1</f>
        <v>0.23077348840468015</v>
      </c>
      <c r="H58" s="173">
        <f>Presupuesto!H7/Presupuesto!G7-1</f>
        <v>-0.10459200663978652</v>
      </c>
      <c r="I58" s="173">
        <f>Presupuesto!I7/Presupuesto!H7-1</f>
        <v>0.1994851895930445</v>
      </c>
      <c r="J58" s="173">
        <f>Presupuesto!J7/Presupuesto!I7-1</f>
        <v>0.014884589898692457</v>
      </c>
      <c r="K58" s="173">
        <f>Presupuesto!K7/Presupuesto!J7-1</f>
        <v>-0.00615256544901821</v>
      </c>
      <c r="L58" s="173">
        <f>Presupuesto!L7/Presupuesto!K7-1</f>
        <v>-0.07619249302428233</v>
      </c>
      <c r="M58" s="173">
        <f>Presupuesto!M7/Presupuesto!L7-1</f>
        <v>-0.05458337708487215</v>
      </c>
      <c r="N58" s="173">
        <f>Presupuesto!N7/Presupuesto!M7-1</f>
        <v>0.005721165242943416</v>
      </c>
    </row>
    <row r="59" spans="3:11" ht="15">
      <c r="C59" s="168"/>
      <c r="D59" s="169"/>
      <c r="E59" s="169"/>
      <c r="F59" s="169"/>
      <c r="G59" s="143"/>
      <c r="H59" s="143"/>
      <c r="I59" s="143"/>
      <c r="J59" s="143"/>
      <c r="K59" s="143"/>
    </row>
    <row r="60" ht="23.25">
      <c r="C60" s="2" t="s">
        <v>371</v>
      </c>
    </row>
    <row r="62" spans="3:15" ht="15">
      <c r="C62" s="79" t="s">
        <v>57</v>
      </c>
      <c r="D62" s="187">
        <v>2001</v>
      </c>
      <c r="E62" s="187">
        <v>2002</v>
      </c>
      <c r="F62" s="187">
        <v>2003</v>
      </c>
      <c r="G62" s="80">
        <v>2004</v>
      </c>
      <c r="H62" s="80">
        <v>2005</v>
      </c>
      <c r="I62" s="80">
        <v>2006</v>
      </c>
      <c r="J62" s="80">
        <v>2007</v>
      </c>
      <c r="K62" s="80" t="s">
        <v>8</v>
      </c>
      <c r="L62" s="80" t="s">
        <v>9</v>
      </c>
      <c r="M62" s="81" t="s">
        <v>10</v>
      </c>
      <c r="N62" s="81" t="s">
        <v>11</v>
      </c>
      <c r="O62" s="81" t="s">
        <v>397</v>
      </c>
    </row>
    <row r="63" spans="3:15" ht="15">
      <c r="C63" s="58" t="s">
        <v>58</v>
      </c>
      <c r="D63" s="82">
        <v>2210</v>
      </c>
      <c r="E63" s="82">
        <v>2329</v>
      </c>
      <c r="F63" s="82">
        <v>1701</v>
      </c>
      <c r="G63" s="82">
        <v>1679</v>
      </c>
      <c r="H63" s="82">
        <v>1916</v>
      </c>
      <c r="I63" s="82">
        <v>2090</v>
      </c>
      <c r="J63" s="82">
        <v>2122</v>
      </c>
      <c r="K63" s="82">
        <v>2106</v>
      </c>
      <c r="L63" s="82">
        <v>2117</v>
      </c>
      <c r="M63" s="83">
        <v>2090</v>
      </c>
      <c r="N63" s="112">
        <v>2058</v>
      </c>
      <c r="O63" s="112">
        <v>2032</v>
      </c>
    </row>
    <row r="64" spans="3:15" ht="15.75" thickBot="1">
      <c r="C64" s="84" t="s">
        <v>59</v>
      </c>
      <c r="D64" s="188"/>
      <c r="E64" s="188"/>
      <c r="F64" s="78">
        <v>700</v>
      </c>
      <c r="G64" s="78">
        <v>818</v>
      </c>
      <c r="H64" s="78">
        <v>684</v>
      </c>
      <c r="I64" s="78">
        <v>555</v>
      </c>
      <c r="J64" s="78">
        <v>637</v>
      </c>
      <c r="K64" s="78">
        <v>672</v>
      </c>
      <c r="L64" s="78">
        <v>738</v>
      </c>
      <c r="M64" s="85">
        <v>696</v>
      </c>
      <c r="N64" s="113">
        <v>712</v>
      </c>
      <c r="O64" s="113">
        <v>687</v>
      </c>
    </row>
    <row r="65" spans="3:15" ht="15.75" thickTop="1">
      <c r="C65" s="86" t="s">
        <v>12</v>
      </c>
      <c r="D65" s="174">
        <f aca="true" t="shared" si="2" ref="D65:F65">SUM(D63:D64)</f>
        <v>2210</v>
      </c>
      <c r="E65" s="174">
        <f t="shared" si="2"/>
        <v>2329</v>
      </c>
      <c r="F65" s="174">
        <f t="shared" si="2"/>
        <v>2401</v>
      </c>
      <c r="G65" s="174">
        <f>SUM(G63:G64)</f>
        <v>2497</v>
      </c>
      <c r="H65" s="174">
        <f aca="true" t="shared" si="3" ref="H65:N65">SUM(H63:H64)</f>
        <v>2600</v>
      </c>
      <c r="I65" s="174">
        <f t="shared" si="3"/>
        <v>2645</v>
      </c>
      <c r="J65" s="174">
        <f t="shared" si="3"/>
        <v>2759</v>
      </c>
      <c r="K65" s="174">
        <f t="shared" si="3"/>
        <v>2778</v>
      </c>
      <c r="L65" s="174">
        <f t="shared" si="3"/>
        <v>2855</v>
      </c>
      <c r="M65" s="174">
        <f t="shared" si="3"/>
        <v>2786</v>
      </c>
      <c r="N65" s="174">
        <f t="shared" si="3"/>
        <v>2770</v>
      </c>
      <c r="O65" s="174">
        <f aca="true" t="shared" si="4" ref="O65">SUM(O63:O64)</f>
        <v>2719</v>
      </c>
    </row>
    <row r="67" s="206" customFormat="1" ht="23.25">
      <c r="C67" s="2" t="s">
        <v>370</v>
      </c>
    </row>
    <row r="68" s="206" customFormat="1" ht="15"/>
    <row r="69" spans="3:15" s="206" customFormat="1" ht="15">
      <c r="C69" s="79" t="s">
        <v>57</v>
      </c>
      <c r="D69" s="187">
        <v>2001</v>
      </c>
      <c r="E69" s="187">
        <v>2002</v>
      </c>
      <c r="F69" s="187">
        <v>2003</v>
      </c>
      <c r="G69" s="80">
        <v>2004</v>
      </c>
      <c r="H69" s="80">
        <v>2005</v>
      </c>
      <c r="I69" s="80">
        <v>2006</v>
      </c>
      <c r="J69" s="80">
        <v>2007</v>
      </c>
      <c r="K69" s="80" t="s">
        <v>8</v>
      </c>
      <c r="L69" s="80" t="s">
        <v>9</v>
      </c>
      <c r="M69" s="81" t="s">
        <v>10</v>
      </c>
      <c r="N69" s="81">
        <v>2011</v>
      </c>
      <c r="O69" s="81">
        <v>2012</v>
      </c>
    </row>
    <row r="70" spans="3:15" s="206" customFormat="1" ht="15">
      <c r="C70" s="58" t="s">
        <v>58</v>
      </c>
      <c r="D70" s="82">
        <v>1318.7608695652175</v>
      </c>
      <c r="E70" s="82">
        <v>1380.4468085106382</v>
      </c>
      <c r="F70" s="82">
        <v>1341.8085106382978</v>
      </c>
      <c r="G70" s="82">
        <v>1326.9791666666667</v>
      </c>
      <c r="H70" s="82">
        <v>1374.8541666666667</v>
      </c>
      <c r="I70" s="82">
        <v>1429.6666666666667</v>
      </c>
      <c r="J70" s="82">
        <v>1483.5833333333333</v>
      </c>
      <c r="K70" s="82">
        <v>1470.4583333333333</v>
      </c>
      <c r="L70" s="82">
        <v>1465.4375</v>
      </c>
      <c r="M70" s="83">
        <v>1443.265306122449</v>
      </c>
      <c r="N70" s="112">
        <v>1480</v>
      </c>
      <c r="O70" s="112">
        <v>1454</v>
      </c>
    </row>
    <row r="71" spans="3:15" s="206" customFormat="1" ht="15.75" thickBot="1">
      <c r="C71" s="84" t="s">
        <v>59</v>
      </c>
      <c r="D71" s="78">
        <v>579.7906976744187</v>
      </c>
      <c r="E71" s="78">
        <v>583.7727272727273</v>
      </c>
      <c r="F71" s="78">
        <v>633.8478260869565</v>
      </c>
      <c r="G71" s="78">
        <v>658</v>
      </c>
      <c r="H71" s="78">
        <v>681.8510638297872</v>
      </c>
      <c r="I71" s="78">
        <v>706.3404255319149</v>
      </c>
      <c r="J71" s="78">
        <v>725.6808510638298</v>
      </c>
      <c r="K71" s="78">
        <v>814.6170212765958</v>
      </c>
      <c r="L71" s="78">
        <v>848.1702127659574</v>
      </c>
      <c r="M71" s="85">
        <v>878.0416666666666</v>
      </c>
      <c r="N71" s="113">
        <v>912</v>
      </c>
      <c r="O71" s="113">
        <v>869</v>
      </c>
    </row>
    <row r="72" spans="3:15" s="206" customFormat="1" ht="15.75" thickTop="1">
      <c r="C72" s="86" t="s">
        <v>12</v>
      </c>
      <c r="D72" s="174">
        <f aca="true" t="shared" si="5" ref="D72:F72">SUM(D70:D71)</f>
        <v>1898.5515672396361</v>
      </c>
      <c r="E72" s="174">
        <f t="shared" si="5"/>
        <v>1964.2195357833655</v>
      </c>
      <c r="F72" s="174">
        <f t="shared" si="5"/>
        <v>1975.6563367252543</v>
      </c>
      <c r="G72" s="174">
        <f>SUM(G70:G71)</f>
        <v>1984.9791666666667</v>
      </c>
      <c r="H72" s="174">
        <f aca="true" t="shared" si="6" ref="H72:N72">SUM(H70:H71)</f>
        <v>2056.705230496454</v>
      </c>
      <c r="I72" s="174">
        <f t="shared" si="6"/>
        <v>2136.0070921985816</v>
      </c>
      <c r="J72" s="174">
        <f t="shared" si="6"/>
        <v>2209.2641843971633</v>
      </c>
      <c r="K72" s="174">
        <f t="shared" si="6"/>
        <v>2285.075354609929</v>
      </c>
      <c r="L72" s="174">
        <f t="shared" si="6"/>
        <v>2313.6077127659573</v>
      </c>
      <c r="M72" s="174">
        <f t="shared" si="6"/>
        <v>2321.3069727891157</v>
      </c>
      <c r="N72" s="174">
        <f t="shared" si="6"/>
        <v>2392</v>
      </c>
      <c r="O72" s="174">
        <f aca="true" t="shared" si="7" ref="O72">SUM(O70:O71)</f>
        <v>2323</v>
      </c>
    </row>
    <row r="74" spans="3:5" ht="23.25">
      <c r="C74" s="2" t="s">
        <v>174</v>
      </c>
      <c r="D74" s="153"/>
      <c r="E74" s="153"/>
    </row>
    <row r="75" spans="3:11" ht="15.75" thickBot="1">
      <c r="C75" s="153"/>
      <c r="D75" s="153"/>
      <c r="E75" s="153"/>
      <c r="H75" s="143"/>
      <c r="I75" s="143"/>
      <c r="J75" s="143"/>
      <c r="K75" s="143"/>
    </row>
    <row r="76" spans="3:13" ht="15.75" thickTop="1">
      <c r="C76" s="101"/>
      <c r="D76" s="252">
        <v>2008</v>
      </c>
      <c r="E76" s="254"/>
      <c r="F76" s="252">
        <v>2009</v>
      </c>
      <c r="G76" s="253"/>
      <c r="H76" s="252">
        <v>2010</v>
      </c>
      <c r="I76" s="251"/>
      <c r="J76" s="250">
        <v>2011</v>
      </c>
      <c r="K76" s="251"/>
      <c r="L76" s="250">
        <v>2012</v>
      </c>
      <c r="M76" s="251"/>
    </row>
    <row r="77" spans="3:13" ht="15">
      <c r="C77" s="102" t="s">
        <v>172</v>
      </c>
      <c r="D77" s="104">
        <f>'2008 NREF'!G23</f>
        <v>21.22362873004994</v>
      </c>
      <c r="E77" s="104">
        <f>'2008 NREF'!H23</f>
        <v>29.251618794702537</v>
      </c>
      <c r="F77" s="104">
        <f>'2009 NREF'!G23</f>
        <v>20.886821582711903</v>
      </c>
      <c r="G77" s="104">
        <f>'2009 NREF'!H23</f>
        <v>28.863178417288097</v>
      </c>
      <c r="H77" s="105">
        <f>'2010 NREF'!G23</f>
        <v>25.92599165004413</v>
      </c>
      <c r="I77" s="105">
        <f>'2010 NREF'!H23</f>
        <v>33.89219016813769</v>
      </c>
      <c r="J77" s="105">
        <f>'2011'!I23</f>
        <v>16.950089541956615</v>
      </c>
      <c r="K77" s="105">
        <f>'2011'!J23</f>
        <v>28.249910458043388</v>
      </c>
      <c r="L77" s="105">
        <f>'2012'!I23</f>
        <v>24.23790850544185</v>
      </c>
      <c r="M77" s="105">
        <f>'2012'!J23</f>
        <v>32.96209149455815</v>
      </c>
    </row>
    <row r="78" spans="3:13" ht="15.75" thickBot="1">
      <c r="C78" s="103" t="s">
        <v>173</v>
      </c>
      <c r="D78" s="106">
        <f>'2008'!N23</f>
        <v>0.5059361075892894</v>
      </c>
      <c r="E78" s="107">
        <f>'2008'!O23</f>
        <v>0.5786686080833874</v>
      </c>
      <c r="F78" s="106">
        <f>'2009'!N23</f>
        <v>0.5177232379040415</v>
      </c>
      <c r="G78" s="107">
        <f>'2009'!O23</f>
        <v>0.5869425880732599</v>
      </c>
      <c r="H78" s="108">
        <f>'2010'!N23</f>
        <v>0.6165212250587319</v>
      </c>
      <c r="I78" s="109">
        <f>'2010'!O23</f>
        <v>0.6872037033080304</v>
      </c>
      <c r="J78" s="109">
        <f>'2011'!N23</f>
        <v>0.6054969022463114</v>
      </c>
      <c r="K78" s="109">
        <f>'2011'!O23</f>
        <v>0.6776889384616532</v>
      </c>
      <c r="L78" s="109">
        <f>'2012'!N23</f>
        <v>0.5273961005782285</v>
      </c>
      <c r="M78" s="109">
        <f>'2012'!O23</f>
        <v>0.5938160206338926</v>
      </c>
    </row>
    <row r="79" ht="15.75" thickTop="1"/>
    <row r="80" ht="23.25">
      <c r="C80" s="2" t="s">
        <v>372</v>
      </c>
    </row>
    <row r="82" spans="3:15" ht="15">
      <c r="C82" s="111" t="s">
        <v>309</v>
      </c>
      <c r="D82" s="175" t="s">
        <v>362</v>
      </c>
      <c r="E82" s="175" t="s">
        <v>363</v>
      </c>
      <c r="F82" s="175" t="s">
        <v>364</v>
      </c>
      <c r="G82" s="175" t="s">
        <v>356</v>
      </c>
      <c r="H82" s="175" t="s">
        <v>357</v>
      </c>
      <c r="I82" s="175" t="s">
        <v>358</v>
      </c>
      <c r="J82" s="175" t="s">
        <v>359</v>
      </c>
      <c r="K82" s="175" t="s">
        <v>8</v>
      </c>
      <c r="L82" s="175" t="s">
        <v>9</v>
      </c>
      <c r="M82" s="175" t="s">
        <v>10</v>
      </c>
      <c r="N82" s="175" t="s">
        <v>11</v>
      </c>
      <c r="O82" s="175" t="s">
        <v>397</v>
      </c>
    </row>
    <row r="83" spans="3:15" ht="15">
      <c r="C83" s="111" t="s">
        <v>374</v>
      </c>
      <c r="D83" s="114">
        <v>305920</v>
      </c>
      <c r="E83" s="114">
        <v>334000</v>
      </c>
      <c r="F83" s="114">
        <v>366269</v>
      </c>
      <c r="G83" s="114">
        <v>397485</v>
      </c>
      <c r="H83" s="114">
        <v>403330</v>
      </c>
      <c r="I83" s="114">
        <v>436940</v>
      </c>
      <c r="J83" s="114">
        <v>463595</v>
      </c>
      <c r="K83" s="114">
        <v>494082</v>
      </c>
      <c r="L83" s="114">
        <v>524743</v>
      </c>
      <c r="M83" s="114">
        <v>555981</v>
      </c>
      <c r="N83" s="114">
        <v>564507</v>
      </c>
      <c r="O83" s="114">
        <v>558311</v>
      </c>
    </row>
    <row r="84" spans="3:15" ht="15">
      <c r="C84" s="111" t="s">
        <v>382</v>
      </c>
      <c r="D84" s="114">
        <v>1140</v>
      </c>
      <c r="E84" s="114">
        <v>2439</v>
      </c>
      <c r="F84" s="114">
        <v>1940</v>
      </c>
      <c r="G84" s="114">
        <v>2794</v>
      </c>
      <c r="H84" s="114">
        <v>2634</v>
      </c>
      <c r="I84" s="114">
        <v>3258</v>
      </c>
      <c r="J84" s="114">
        <v>624</v>
      </c>
      <c r="K84" s="114">
        <v>2819</v>
      </c>
      <c r="L84" s="114">
        <v>2870</v>
      </c>
      <c r="M84" s="114">
        <v>2960</v>
      </c>
      <c r="N84" s="114">
        <v>3040</v>
      </c>
      <c r="O84" s="114">
        <v>3576</v>
      </c>
    </row>
    <row r="85" spans="3:15" ht="15">
      <c r="C85" s="111" t="s">
        <v>383</v>
      </c>
      <c r="D85" s="114">
        <v>0</v>
      </c>
      <c r="E85" s="114">
        <v>0</v>
      </c>
      <c r="F85" s="114">
        <v>23200</v>
      </c>
      <c r="G85" s="114">
        <v>24200</v>
      </c>
      <c r="H85" s="114">
        <v>28041</v>
      </c>
      <c r="I85" s="114">
        <v>44457</v>
      </c>
      <c r="J85" s="114">
        <v>79839</v>
      </c>
      <c r="K85" s="114">
        <v>13966</v>
      </c>
      <c r="L85" s="114">
        <v>15332</v>
      </c>
      <c r="M85" s="114">
        <v>22668</v>
      </c>
      <c r="N85" s="114">
        <v>37201</v>
      </c>
      <c r="O85" s="114">
        <v>35144</v>
      </c>
    </row>
    <row r="86" spans="3:15" ht="15">
      <c r="C86" s="111" t="s">
        <v>384</v>
      </c>
      <c r="D86" s="114">
        <v>572</v>
      </c>
      <c r="E86" s="114">
        <v>1309</v>
      </c>
      <c r="F86" s="114">
        <v>2947</v>
      </c>
      <c r="G86" s="114">
        <v>4472</v>
      </c>
      <c r="H86" s="114">
        <v>10216</v>
      </c>
      <c r="I86" s="114">
        <v>12047</v>
      </c>
      <c r="J86" s="114">
        <v>15548</v>
      </c>
      <c r="K86" s="114">
        <v>9122</v>
      </c>
      <c r="L86" s="114">
        <v>9045</v>
      </c>
      <c r="M86" s="114">
        <v>8387</v>
      </c>
      <c r="N86" s="114">
        <v>8354</v>
      </c>
      <c r="O86" s="114">
        <v>18722</v>
      </c>
    </row>
    <row r="87" spans="3:15" ht="15">
      <c r="C87" s="111" t="s">
        <v>385</v>
      </c>
      <c r="D87" s="114">
        <v>70</v>
      </c>
      <c r="E87" s="114">
        <v>75</v>
      </c>
      <c r="F87" s="114">
        <v>68</v>
      </c>
      <c r="G87" s="114">
        <v>73</v>
      </c>
      <c r="H87" s="114">
        <v>67</v>
      </c>
      <c r="I87" s="114">
        <v>90</v>
      </c>
      <c r="J87" s="114">
        <v>81</v>
      </c>
      <c r="K87" s="114">
        <v>91</v>
      </c>
      <c r="L87" s="114">
        <v>91</v>
      </c>
      <c r="M87" s="114">
        <v>79</v>
      </c>
      <c r="N87" s="114">
        <v>45</v>
      </c>
      <c r="O87" s="114">
        <v>33</v>
      </c>
    </row>
    <row r="88" spans="3:15" ht="15">
      <c r="C88" s="111" t="s">
        <v>386</v>
      </c>
      <c r="D88" s="114">
        <v>275033</v>
      </c>
      <c r="E88" s="114">
        <v>345312</v>
      </c>
      <c r="F88" s="114">
        <v>451213</v>
      </c>
      <c r="G88" s="114">
        <v>530134</v>
      </c>
      <c r="H88" s="114">
        <v>544229</v>
      </c>
      <c r="I88" s="114">
        <v>552103</v>
      </c>
      <c r="J88" s="114">
        <v>611865</v>
      </c>
      <c r="K88" s="114">
        <v>637061</v>
      </c>
      <c r="L88" s="114">
        <v>654140</v>
      </c>
      <c r="M88" s="114">
        <v>660160</v>
      </c>
      <c r="N88" s="114">
        <v>642433</v>
      </c>
      <c r="O88" s="114">
        <v>495749</v>
      </c>
    </row>
    <row r="89" spans="3:15" ht="15">
      <c r="C89" s="111" t="s">
        <v>387</v>
      </c>
      <c r="D89" s="114">
        <v>3397</v>
      </c>
      <c r="E89" s="199" t="s">
        <v>365</v>
      </c>
      <c r="F89" s="114">
        <v>127212</v>
      </c>
      <c r="G89" s="114">
        <v>188340</v>
      </c>
      <c r="H89" s="114">
        <v>234697</v>
      </c>
      <c r="I89" s="114">
        <v>682226</v>
      </c>
      <c r="J89" s="114">
        <v>407364</v>
      </c>
      <c r="K89" s="114">
        <v>512300</v>
      </c>
      <c r="L89" s="114">
        <v>696935</v>
      </c>
      <c r="M89" s="114">
        <v>729650</v>
      </c>
      <c r="N89" s="114">
        <v>884545</v>
      </c>
      <c r="O89" s="114">
        <v>785732</v>
      </c>
    </row>
    <row r="92" spans="3:11" ht="23.25">
      <c r="C92" s="2" t="s">
        <v>389</v>
      </c>
      <c r="D92" s="153"/>
      <c r="E92" s="153"/>
      <c r="F92" s="153"/>
      <c r="G92" s="153"/>
      <c r="H92" s="153"/>
      <c r="I92" s="153"/>
      <c r="J92" s="153"/>
      <c r="K92" s="153"/>
    </row>
    <row r="93" spans="3:11" ht="15">
      <c r="C93" s="153"/>
      <c r="D93" s="153"/>
      <c r="E93" s="153"/>
      <c r="F93" s="153"/>
      <c r="G93" s="153"/>
      <c r="H93" s="153"/>
      <c r="I93" s="153"/>
      <c r="J93" s="153"/>
      <c r="K93" s="153"/>
    </row>
    <row r="94" spans="3:14" ht="15">
      <c r="C94" s="153" t="s">
        <v>309</v>
      </c>
      <c r="D94" s="175" t="s">
        <v>363</v>
      </c>
      <c r="E94" s="175" t="s">
        <v>364</v>
      </c>
      <c r="F94" s="175" t="s">
        <v>356</v>
      </c>
      <c r="G94" s="175" t="s">
        <v>357</v>
      </c>
      <c r="H94" s="175" t="s">
        <v>358</v>
      </c>
      <c r="I94" s="175" t="s">
        <v>359</v>
      </c>
      <c r="J94" s="175" t="s">
        <v>8</v>
      </c>
      <c r="K94" s="175" t="s">
        <v>9</v>
      </c>
      <c r="L94" s="175" t="s">
        <v>10</v>
      </c>
      <c r="M94" s="175" t="s">
        <v>11</v>
      </c>
      <c r="N94" s="175" t="s">
        <v>397</v>
      </c>
    </row>
    <row r="95" spans="3:14" ht="15">
      <c r="C95" s="153" t="s">
        <v>375</v>
      </c>
      <c r="D95" s="194">
        <f aca="true" t="shared" si="8" ref="D95:F95">E83/D83-1</f>
        <v>0.0917887029288702</v>
      </c>
      <c r="E95" s="194">
        <f t="shared" si="8"/>
        <v>0.09661377245508973</v>
      </c>
      <c r="F95" s="194">
        <f t="shared" si="8"/>
        <v>0.085226977986125</v>
      </c>
      <c r="G95" s="194">
        <f aca="true" t="shared" si="9" ref="G95:N101">H83/G83-1</f>
        <v>0.014704957419776843</v>
      </c>
      <c r="H95" s="194">
        <f t="shared" si="9"/>
        <v>0.08333126720055528</v>
      </c>
      <c r="I95" s="194">
        <f t="shared" si="9"/>
        <v>0.06100379914862453</v>
      </c>
      <c r="J95" s="194">
        <f t="shared" si="9"/>
        <v>0.06576214152439097</v>
      </c>
      <c r="K95" s="194">
        <f t="shared" si="9"/>
        <v>0.06205650074279179</v>
      </c>
      <c r="L95" s="194">
        <f t="shared" si="9"/>
        <v>0.059530093779240456</v>
      </c>
      <c r="M95" s="194">
        <f t="shared" si="9"/>
        <v>0.015335056413798398</v>
      </c>
      <c r="N95" s="234">
        <f t="shared" si="9"/>
        <v>-0.01097594892534548</v>
      </c>
    </row>
    <row r="96" spans="3:14" ht="15">
      <c r="C96" s="153" t="s">
        <v>376</v>
      </c>
      <c r="D96" s="194">
        <f aca="true" t="shared" si="10" ref="D96:F96">E84/D84-1</f>
        <v>1.1394736842105262</v>
      </c>
      <c r="E96" s="194">
        <f t="shared" si="10"/>
        <v>-0.2045920459204592</v>
      </c>
      <c r="F96" s="194">
        <f t="shared" si="10"/>
        <v>0.4402061855670103</v>
      </c>
      <c r="G96" s="194">
        <f t="shared" si="9"/>
        <v>-0.05726556907659275</v>
      </c>
      <c r="H96" s="194">
        <f t="shared" si="9"/>
        <v>0.2369020501138952</v>
      </c>
      <c r="I96" s="194">
        <f t="shared" si="9"/>
        <v>-0.8084714548802947</v>
      </c>
      <c r="J96" s="194">
        <f t="shared" si="9"/>
        <v>3.5176282051282053</v>
      </c>
      <c r="K96" s="194">
        <f t="shared" si="9"/>
        <v>0.018091521816246958</v>
      </c>
      <c r="L96" s="194">
        <f t="shared" si="9"/>
        <v>0.03135888501742157</v>
      </c>
      <c r="M96" s="194">
        <f t="shared" si="9"/>
        <v>0.027027027027026973</v>
      </c>
      <c r="N96" s="234">
        <f t="shared" si="9"/>
        <v>0.1763157894736842</v>
      </c>
    </row>
    <row r="97" spans="3:14" ht="15">
      <c r="C97" s="153" t="s">
        <v>377</v>
      </c>
      <c r="D97" s="195" t="s">
        <v>365</v>
      </c>
      <c r="E97" s="195" t="s">
        <v>365</v>
      </c>
      <c r="F97" s="194">
        <f aca="true" t="shared" si="11" ref="F97">G85/F85-1</f>
        <v>0.0431034482758621</v>
      </c>
      <c r="G97" s="194">
        <f t="shared" si="9"/>
        <v>0.15871900826446272</v>
      </c>
      <c r="H97" s="194">
        <f t="shared" si="9"/>
        <v>0.5854284797261153</v>
      </c>
      <c r="I97" s="194">
        <f t="shared" si="9"/>
        <v>0.7958701666779135</v>
      </c>
      <c r="J97" s="194">
        <f t="shared" si="9"/>
        <v>-0.8250729593306529</v>
      </c>
      <c r="K97" s="194">
        <f t="shared" si="9"/>
        <v>0.09780896462838329</v>
      </c>
      <c r="L97" s="194">
        <f t="shared" si="9"/>
        <v>0.47847638925123914</v>
      </c>
      <c r="M97" s="194">
        <f t="shared" si="9"/>
        <v>0.6411240515263807</v>
      </c>
      <c r="N97" s="234">
        <f t="shared" si="9"/>
        <v>-0.05529421252116884</v>
      </c>
    </row>
    <row r="98" spans="3:14" ht="15">
      <c r="C98" s="153" t="s">
        <v>378</v>
      </c>
      <c r="D98" s="194">
        <f aca="true" t="shared" si="12" ref="D98:F98">E86/D86-1</f>
        <v>1.2884615384615383</v>
      </c>
      <c r="E98" s="194">
        <f t="shared" si="12"/>
        <v>1.251336898395722</v>
      </c>
      <c r="F98" s="194">
        <f t="shared" si="12"/>
        <v>0.5174753987105531</v>
      </c>
      <c r="G98" s="194">
        <f t="shared" si="9"/>
        <v>1.2844364937388195</v>
      </c>
      <c r="H98" s="194">
        <f t="shared" si="9"/>
        <v>0.17922866092404077</v>
      </c>
      <c r="I98" s="194">
        <f t="shared" si="9"/>
        <v>0.290611770565286</v>
      </c>
      <c r="J98" s="194">
        <f t="shared" si="9"/>
        <v>-0.4133007460766658</v>
      </c>
      <c r="K98" s="194">
        <f t="shared" si="9"/>
        <v>-0.00844113133084845</v>
      </c>
      <c r="L98" s="194">
        <f t="shared" si="9"/>
        <v>-0.07274737423991151</v>
      </c>
      <c r="M98" s="194">
        <f t="shared" si="9"/>
        <v>-0.003934660784547517</v>
      </c>
      <c r="N98" s="234">
        <f t="shared" si="9"/>
        <v>1.2410821163514485</v>
      </c>
    </row>
    <row r="99" spans="3:14" ht="15">
      <c r="C99" s="153" t="s">
        <v>379</v>
      </c>
      <c r="D99" s="194">
        <f aca="true" t="shared" si="13" ref="D99:F99">E87/D87-1</f>
        <v>0.0714285714285714</v>
      </c>
      <c r="E99" s="194">
        <f t="shared" si="13"/>
        <v>-0.09333333333333338</v>
      </c>
      <c r="F99" s="194">
        <f t="shared" si="13"/>
        <v>0.07352941176470584</v>
      </c>
      <c r="G99" s="194">
        <f t="shared" si="9"/>
        <v>-0.0821917808219178</v>
      </c>
      <c r="H99" s="194">
        <f t="shared" si="9"/>
        <v>0.34328358208955234</v>
      </c>
      <c r="I99" s="194">
        <f t="shared" si="9"/>
        <v>-0.09999999999999998</v>
      </c>
      <c r="J99" s="194">
        <f t="shared" si="9"/>
        <v>0.1234567901234569</v>
      </c>
      <c r="K99" s="194">
        <f t="shared" si="9"/>
        <v>0</v>
      </c>
      <c r="L99" s="194">
        <f t="shared" si="9"/>
        <v>-0.13186813186813184</v>
      </c>
      <c r="M99" s="194">
        <f t="shared" si="9"/>
        <v>-0.430379746835443</v>
      </c>
      <c r="N99" s="234">
        <f t="shared" si="9"/>
        <v>-0.2666666666666667</v>
      </c>
    </row>
    <row r="100" spans="3:14" ht="15">
      <c r="C100" s="153" t="s">
        <v>380</v>
      </c>
      <c r="D100" s="194">
        <f aca="true" t="shared" si="14" ref="D100:F100">E88/D88-1</f>
        <v>0.2555293364796225</v>
      </c>
      <c r="E100" s="194">
        <f t="shared" si="14"/>
        <v>0.3066820730238162</v>
      </c>
      <c r="F100" s="194">
        <f t="shared" si="14"/>
        <v>0.17490852435545956</v>
      </c>
      <c r="G100" s="194">
        <f t="shared" si="9"/>
        <v>0.026587617470299918</v>
      </c>
      <c r="H100" s="194">
        <f t="shared" si="9"/>
        <v>0.01446817424282787</v>
      </c>
      <c r="I100" s="194">
        <f t="shared" si="9"/>
        <v>0.10824429499568011</v>
      </c>
      <c r="J100" s="194">
        <f t="shared" si="9"/>
        <v>0.04117901824748915</v>
      </c>
      <c r="K100" s="194">
        <f t="shared" si="9"/>
        <v>0.02680904968284037</v>
      </c>
      <c r="L100" s="194">
        <f t="shared" si="9"/>
        <v>0.009202922921698775</v>
      </c>
      <c r="M100" s="194">
        <f t="shared" si="9"/>
        <v>-0.026852581192438163</v>
      </c>
      <c r="N100" s="234">
        <f t="shared" si="9"/>
        <v>-0.22832575537059896</v>
      </c>
    </row>
    <row r="101" spans="3:14" ht="15">
      <c r="C101" s="153" t="s">
        <v>381</v>
      </c>
      <c r="D101" s="200" t="s">
        <v>365</v>
      </c>
      <c r="E101" s="200" t="s">
        <v>365</v>
      </c>
      <c r="F101" s="194">
        <f aca="true" t="shared" si="15" ref="F101">G89/F89-1</f>
        <v>0.4805207055938119</v>
      </c>
      <c r="G101" s="194">
        <f t="shared" si="9"/>
        <v>0.24613465010088142</v>
      </c>
      <c r="H101" s="194">
        <f t="shared" si="9"/>
        <v>1.9068373264251353</v>
      </c>
      <c r="I101" s="194">
        <f t="shared" si="9"/>
        <v>-0.40288995142372175</v>
      </c>
      <c r="J101" s="194">
        <f t="shared" si="9"/>
        <v>0.2575976276745122</v>
      </c>
      <c r="K101" s="194">
        <f t="shared" si="9"/>
        <v>0.3604040601210228</v>
      </c>
      <c r="L101" s="194">
        <f t="shared" si="9"/>
        <v>0.04694124990135373</v>
      </c>
      <c r="M101" s="194">
        <f t="shared" si="9"/>
        <v>0.21228671280751055</v>
      </c>
      <c r="N101" s="234">
        <f t="shared" si="9"/>
        <v>-0.11171054044734863</v>
      </c>
    </row>
    <row r="104" spans="3:14" ht="23.25">
      <c r="C104" s="2" t="s">
        <v>373</v>
      </c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</row>
    <row r="105" spans="3:14" ht="15"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</row>
    <row r="106" spans="3:15" ht="15">
      <c r="C106" s="207" t="s">
        <v>309</v>
      </c>
      <c r="D106" s="175" t="s">
        <v>362</v>
      </c>
      <c r="E106" s="175" t="s">
        <v>363</v>
      </c>
      <c r="F106" s="175" t="s">
        <v>364</v>
      </c>
      <c r="G106" s="175" t="s">
        <v>356</v>
      </c>
      <c r="H106" s="175" t="s">
        <v>357</v>
      </c>
      <c r="I106" s="175" t="s">
        <v>358</v>
      </c>
      <c r="J106" s="175" t="s">
        <v>359</v>
      </c>
      <c r="K106" s="175" t="s">
        <v>8</v>
      </c>
      <c r="L106" s="175" t="s">
        <v>9</v>
      </c>
      <c r="M106" s="175" t="s">
        <v>10</v>
      </c>
      <c r="N106" s="175" t="s">
        <v>11</v>
      </c>
      <c r="O106" s="175" t="s">
        <v>397</v>
      </c>
    </row>
    <row r="107" spans="3:15" ht="15">
      <c r="C107" s="207" t="s">
        <v>375</v>
      </c>
      <c r="D107" s="208">
        <v>519111.8333333333</v>
      </c>
      <c r="E107" s="208">
        <v>564234.3191489362</v>
      </c>
      <c r="F107" s="208">
        <v>565838.4791666666</v>
      </c>
      <c r="G107" s="208">
        <v>594412.693877551</v>
      </c>
      <c r="H107" s="208">
        <v>607168.5102040817</v>
      </c>
      <c r="I107" s="208">
        <v>627166.8367346938</v>
      </c>
      <c r="J107" s="208">
        <v>653325.5510204082</v>
      </c>
      <c r="K107" s="208">
        <v>674035.5306122449</v>
      </c>
      <c r="L107" s="208">
        <v>692506.8571428572</v>
      </c>
      <c r="M107" s="208">
        <v>702667</v>
      </c>
      <c r="N107" s="114">
        <v>688234</v>
      </c>
      <c r="O107" s="114">
        <v>716212</v>
      </c>
    </row>
    <row r="108" spans="3:15" ht="15">
      <c r="C108" s="207" t="s">
        <v>376</v>
      </c>
      <c r="D108" s="114">
        <v>11288.229166666666</v>
      </c>
      <c r="E108" s="114">
        <v>12330.979166666666</v>
      </c>
      <c r="F108" s="114">
        <v>12286.458333333334</v>
      </c>
      <c r="G108" s="114">
        <v>12432.530612244898</v>
      </c>
      <c r="H108" s="114">
        <v>12081.857142857143</v>
      </c>
      <c r="I108" s="114">
        <v>13380.061224489797</v>
      </c>
      <c r="J108" s="114">
        <v>13089.530612244898</v>
      </c>
      <c r="K108" s="114">
        <v>12095.69387755102</v>
      </c>
      <c r="L108" s="114">
        <v>12489.326530612245</v>
      </c>
      <c r="M108" s="114">
        <v>12128.08</v>
      </c>
      <c r="N108" s="114">
        <v>11562</v>
      </c>
      <c r="O108" s="114">
        <v>12479</v>
      </c>
    </row>
    <row r="109" spans="3:15" ht="15">
      <c r="C109" s="207" t="s">
        <v>377</v>
      </c>
      <c r="D109" s="114"/>
      <c r="E109" s="114"/>
      <c r="F109" s="114">
        <v>35235.8</v>
      </c>
      <c r="G109" s="114">
        <v>43096.243902439026</v>
      </c>
      <c r="H109" s="114">
        <v>58702.142857142855</v>
      </c>
      <c r="I109" s="114">
        <v>62032.444444444445</v>
      </c>
      <c r="J109" s="114">
        <v>71687.93617021276</v>
      </c>
      <c r="K109" s="114">
        <v>87368.25</v>
      </c>
      <c r="L109" s="114">
        <v>81558.51020408163</v>
      </c>
      <c r="M109" s="114">
        <v>99102.57142857143</v>
      </c>
      <c r="N109" s="114">
        <v>108084</v>
      </c>
      <c r="O109" s="114">
        <v>127829</v>
      </c>
    </row>
    <row r="110" spans="3:15" ht="15">
      <c r="C110" s="207" t="s">
        <v>378</v>
      </c>
      <c r="D110" s="114">
        <v>2075.5833333333335</v>
      </c>
      <c r="E110" s="114">
        <v>3097.125</v>
      </c>
      <c r="F110" s="114">
        <v>4797.041666666667</v>
      </c>
      <c r="G110" s="114">
        <v>8761.469387755102</v>
      </c>
      <c r="H110" s="114">
        <v>11188.714285714286</v>
      </c>
      <c r="I110" s="114">
        <v>13312.469387755102</v>
      </c>
      <c r="J110" s="114">
        <v>15367.734693877552</v>
      </c>
      <c r="K110" s="114">
        <v>17985.979591836734</v>
      </c>
      <c r="L110" s="114">
        <v>20407.326530612245</v>
      </c>
      <c r="M110" s="114">
        <v>21099.530612244896</v>
      </c>
      <c r="N110" s="114">
        <v>22640</v>
      </c>
      <c r="O110" s="114">
        <v>23381</v>
      </c>
    </row>
    <row r="111" spans="3:15" ht="15">
      <c r="C111" s="207" t="s">
        <v>379</v>
      </c>
      <c r="D111" s="114">
        <v>139.375</v>
      </c>
      <c r="E111" s="114">
        <v>167.625</v>
      </c>
      <c r="F111" s="114">
        <v>134.85416666666666</v>
      </c>
      <c r="G111" s="114">
        <v>139.87755102040816</v>
      </c>
      <c r="H111" s="114">
        <v>133.57142857142858</v>
      </c>
      <c r="I111" s="114">
        <v>149.3265306122449</v>
      </c>
      <c r="J111" s="114">
        <v>123.08163265306122</v>
      </c>
      <c r="K111" s="114">
        <v>131.6734693877551</v>
      </c>
      <c r="L111" s="114">
        <v>132</v>
      </c>
      <c r="M111" s="114">
        <v>130.9</v>
      </c>
      <c r="N111" s="114">
        <v>127</v>
      </c>
      <c r="O111" s="114">
        <v>112</v>
      </c>
    </row>
  </sheetData>
  <mergeCells count="5">
    <mergeCell ref="J76:K76"/>
    <mergeCell ref="F76:G76"/>
    <mergeCell ref="D76:E76"/>
    <mergeCell ref="H76:I76"/>
    <mergeCell ref="L76:M76"/>
  </mergeCells>
  <printOptions/>
  <pageMargins left="0.7" right="0.7" top="0.75" bottom="0.75" header="0.3" footer="0.3"/>
  <pageSetup horizontalDpi="600" verticalDpi="600" orientation="portrait" paperSize="9"/>
  <ignoredErrors>
    <ignoredError sqref="D72:I72" formulaRange="1"/>
  </ignoredErrors>
  <drawing r:id="rId9"/>
  <legacyDrawing r:id="rId2"/>
  <tableParts>
    <tablePart r:id="rId7"/>
    <tablePart r:id="rId5"/>
    <tablePart r:id="rId3"/>
    <tablePart r:id="rId6"/>
    <tablePart r:id="rId4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81"/>
  <sheetViews>
    <sheetView workbookViewId="0" topLeftCell="A1">
      <selection activeCell="C10" sqref="C10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6" max="6" width="21.421875" style="0" bestFit="1" customWidth="1"/>
    <col min="7" max="8" width="12.00390625" style="0" customWidth="1"/>
    <col min="9" max="9" width="2.421875" style="0" customWidth="1"/>
    <col min="10" max="10" width="2.7109375" style="0" customWidth="1"/>
    <col min="11" max="11" width="32.00390625" style="0" bestFit="1" customWidth="1"/>
    <col min="12" max="12" width="12.421875" style="0" bestFit="1" customWidth="1"/>
    <col min="13" max="13" width="12.00390625" style="0" customWidth="1"/>
  </cols>
  <sheetData>
    <row r="1" ht="15.75" thickBot="1"/>
    <row r="2" spans="2:13" ht="32.25" thickTop="1">
      <c r="B2" s="89">
        <v>2010</v>
      </c>
      <c r="F2" s="273" t="s">
        <v>140</v>
      </c>
      <c r="G2" s="274"/>
      <c r="H2" s="275"/>
      <c r="K2" s="276"/>
      <c r="L2" s="276"/>
      <c r="M2" s="276"/>
    </row>
    <row r="3" spans="6:8" ht="15">
      <c r="F3" s="95"/>
      <c r="G3" s="90"/>
      <c r="H3" s="96"/>
    </row>
    <row r="4" spans="2:8" ht="15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8" ht="15">
      <c r="A5">
        <v>1</v>
      </c>
      <c r="B5" t="s">
        <v>65</v>
      </c>
      <c r="C5" t="s">
        <v>66</v>
      </c>
      <c r="D5">
        <v>5</v>
      </c>
      <c r="F5" s="95" t="s">
        <v>127</v>
      </c>
      <c r="G5" s="94">
        <f>STDEV(D5:D34)</f>
        <v>17.83242558652217</v>
      </c>
      <c r="H5" s="96"/>
    </row>
    <row r="6" spans="1:8" ht="15">
      <c r="A6">
        <v>2</v>
      </c>
      <c r="B6" t="s">
        <v>72</v>
      </c>
      <c r="C6" t="s">
        <v>66</v>
      </c>
      <c r="D6">
        <v>3</v>
      </c>
      <c r="F6" s="95"/>
      <c r="G6" s="90"/>
      <c r="H6" s="96"/>
    </row>
    <row r="7" spans="1:8" ht="15">
      <c r="A7">
        <v>3</v>
      </c>
      <c r="B7" t="s">
        <v>67</v>
      </c>
      <c r="C7" t="s">
        <v>66</v>
      </c>
      <c r="D7">
        <v>15</v>
      </c>
      <c r="F7" s="95" t="s">
        <v>128</v>
      </c>
      <c r="G7" s="90">
        <v>1.96</v>
      </c>
      <c r="H7" s="96"/>
    </row>
    <row r="8" spans="1:8" ht="15">
      <c r="A8">
        <v>4</v>
      </c>
      <c r="B8" t="s">
        <v>68</v>
      </c>
      <c r="C8" t="s">
        <v>66</v>
      </c>
      <c r="D8">
        <v>11</v>
      </c>
      <c r="F8" s="95"/>
      <c r="G8" s="90"/>
      <c r="H8" s="96"/>
    </row>
    <row r="9" spans="1:8" ht="15">
      <c r="A9">
        <v>5</v>
      </c>
      <c r="B9" t="s">
        <v>69</v>
      </c>
      <c r="C9" t="s">
        <v>64</v>
      </c>
      <c r="D9">
        <v>71</v>
      </c>
      <c r="F9" s="95" t="s">
        <v>129</v>
      </c>
      <c r="G9" s="90">
        <v>4</v>
      </c>
      <c r="H9" s="96"/>
    </row>
    <row r="10" spans="1:8" ht="15">
      <c r="A10">
        <v>6</v>
      </c>
      <c r="B10" t="s">
        <v>70</v>
      </c>
      <c r="C10" t="s">
        <v>64</v>
      </c>
      <c r="D10">
        <v>41</v>
      </c>
      <c r="F10" s="95"/>
      <c r="G10" s="90"/>
      <c r="H10" s="96"/>
    </row>
    <row r="11" spans="1:8" ht="15">
      <c r="A11">
        <v>7</v>
      </c>
      <c r="B11" t="s">
        <v>71</v>
      </c>
      <c r="C11" t="s">
        <v>64</v>
      </c>
      <c r="D11">
        <v>44</v>
      </c>
      <c r="F11" s="95" t="s">
        <v>130</v>
      </c>
      <c r="G11" s="91">
        <f>((G7*G7)*(G5*G5))/(G9*G9)</f>
        <v>76.350696091954</v>
      </c>
      <c r="H11" s="96"/>
    </row>
    <row r="12" spans="1:8" ht="15">
      <c r="A12">
        <v>8</v>
      </c>
      <c r="B12" t="s">
        <v>73</v>
      </c>
      <c r="C12" t="s">
        <v>64</v>
      </c>
      <c r="D12">
        <v>5</v>
      </c>
      <c r="F12" s="95"/>
      <c r="G12" s="90"/>
      <c r="H12" s="96"/>
    </row>
    <row r="13" spans="1:8" ht="15">
      <c r="A13">
        <v>9</v>
      </c>
      <c r="B13" t="s">
        <v>74</v>
      </c>
      <c r="C13" t="s">
        <v>64</v>
      </c>
      <c r="D13">
        <v>49</v>
      </c>
      <c r="F13" s="95"/>
      <c r="G13" s="90"/>
      <c r="H13" s="96"/>
    </row>
    <row r="14" spans="1:8" ht="15">
      <c r="A14">
        <v>10</v>
      </c>
      <c r="B14" t="s">
        <v>75</v>
      </c>
      <c r="C14" t="s">
        <v>64</v>
      </c>
      <c r="D14">
        <v>24</v>
      </c>
      <c r="F14" s="95"/>
      <c r="G14" s="90"/>
      <c r="H14" s="96"/>
    </row>
    <row r="15" spans="1:8" ht="15">
      <c r="A15">
        <v>11</v>
      </c>
      <c r="B15" t="s">
        <v>76</v>
      </c>
      <c r="C15" t="s">
        <v>66</v>
      </c>
      <c r="D15">
        <v>1</v>
      </c>
      <c r="F15" s="95"/>
      <c r="G15" s="90"/>
      <c r="H15" s="96"/>
    </row>
    <row r="16" spans="1:8" ht="15">
      <c r="A16">
        <v>12</v>
      </c>
      <c r="B16" t="s">
        <v>77</v>
      </c>
      <c r="C16" t="s">
        <v>66</v>
      </c>
      <c r="D16">
        <v>5</v>
      </c>
      <c r="F16" s="95" t="s">
        <v>137</v>
      </c>
      <c r="G16" s="91" t="s">
        <v>136</v>
      </c>
      <c r="H16" s="96" t="s">
        <v>135</v>
      </c>
    </row>
    <row r="17" spans="1:8" ht="15">
      <c r="A17">
        <v>13</v>
      </c>
      <c r="B17" t="s">
        <v>78</v>
      </c>
      <c r="C17" t="s">
        <v>64</v>
      </c>
      <c r="D17">
        <v>25</v>
      </c>
      <c r="F17" s="95" t="s">
        <v>131</v>
      </c>
      <c r="G17" s="91">
        <f>AVERAGE(D5:D81)</f>
        <v>29.90909090909091</v>
      </c>
      <c r="H17" s="96"/>
    </row>
    <row r="18" spans="1:8" ht="15">
      <c r="A18">
        <v>14</v>
      </c>
      <c r="B18" t="s">
        <v>79</v>
      </c>
      <c r="C18" t="s">
        <v>64</v>
      </c>
      <c r="D18">
        <v>17</v>
      </c>
      <c r="F18" s="95"/>
      <c r="G18" s="90"/>
      <c r="H18" s="96"/>
    </row>
    <row r="19" spans="1:8" ht="15">
      <c r="A19">
        <v>15</v>
      </c>
      <c r="B19" t="s">
        <v>80</v>
      </c>
      <c r="C19" t="s">
        <v>66</v>
      </c>
      <c r="D19">
        <v>7</v>
      </c>
      <c r="F19" s="95" t="s">
        <v>128</v>
      </c>
      <c r="G19" s="90">
        <v>1.96</v>
      </c>
      <c r="H19" s="96"/>
    </row>
    <row r="20" spans="1:8" ht="15">
      <c r="A20">
        <v>16</v>
      </c>
      <c r="B20" t="s">
        <v>81</v>
      </c>
      <c r="C20" t="s">
        <v>64</v>
      </c>
      <c r="D20">
        <v>32</v>
      </c>
      <c r="F20" s="95"/>
      <c r="G20" s="90"/>
      <c r="H20" s="96"/>
    </row>
    <row r="21" spans="1:8" ht="15">
      <c r="A21">
        <v>17</v>
      </c>
      <c r="B21" t="s">
        <v>82</v>
      </c>
      <c r="C21" t="s">
        <v>66</v>
      </c>
      <c r="D21">
        <v>28</v>
      </c>
      <c r="F21" s="95" t="s">
        <v>133</v>
      </c>
      <c r="G21" s="91">
        <f>G5/SQRT(77)</f>
        <v>2.0321934995136637</v>
      </c>
      <c r="H21" s="96"/>
    </row>
    <row r="22" spans="1:8" ht="15">
      <c r="A22">
        <v>18</v>
      </c>
      <c r="B22" t="s">
        <v>83</v>
      </c>
      <c r="C22" t="s">
        <v>64</v>
      </c>
      <c r="D22">
        <v>10</v>
      </c>
      <c r="F22" s="95"/>
      <c r="G22" s="90"/>
      <c r="H22" s="96"/>
    </row>
    <row r="23" spans="1:9" ht="15.75" thickBot="1">
      <c r="A23">
        <v>19</v>
      </c>
      <c r="B23" t="s">
        <v>84</v>
      </c>
      <c r="C23" t="s">
        <v>66</v>
      </c>
      <c r="D23">
        <v>0</v>
      </c>
      <c r="F23" s="97" t="s">
        <v>134</v>
      </c>
      <c r="G23" s="98">
        <f>$G$17-$G$19*$G$21</f>
        <v>25.92599165004413</v>
      </c>
      <c r="H23" s="99">
        <f>$G$17+$G$19*$G$21</f>
        <v>33.89219016813769</v>
      </c>
      <c r="I23" s="92"/>
    </row>
    <row r="24" spans="1:4" ht="15.75" thickTop="1">
      <c r="A24">
        <v>20</v>
      </c>
      <c r="B24" t="s">
        <v>85</v>
      </c>
      <c r="C24" t="s">
        <v>64</v>
      </c>
      <c r="D24">
        <v>23</v>
      </c>
    </row>
    <row r="25" spans="1:4" ht="15">
      <c r="A25">
        <v>21</v>
      </c>
      <c r="B25" t="s">
        <v>86</v>
      </c>
      <c r="C25" t="s">
        <v>64</v>
      </c>
      <c r="D25">
        <v>24</v>
      </c>
    </row>
    <row r="26" spans="1:4" ht="15">
      <c r="A26">
        <v>22</v>
      </c>
      <c r="B26" t="s">
        <v>87</v>
      </c>
      <c r="C26" t="s">
        <v>64</v>
      </c>
      <c r="D26">
        <v>40</v>
      </c>
    </row>
    <row r="27" spans="1:4" ht="15">
      <c r="A27">
        <v>23</v>
      </c>
      <c r="B27" t="s">
        <v>88</v>
      </c>
      <c r="C27" t="s">
        <v>64</v>
      </c>
      <c r="D27">
        <v>62</v>
      </c>
    </row>
    <row r="28" spans="1:4" ht="15">
      <c r="A28">
        <v>24</v>
      </c>
      <c r="B28" t="s">
        <v>89</v>
      </c>
      <c r="C28" t="s">
        <v>66</v>
      </c>
      <c r="D28">
        <v>39</v>
      </c>
    </row>
    <row r="29" spans="1:4" ht="15">
      <c r="A29">
        <v>25</v>
      </c>
      <c r="B29" t="s">
        <v>90</v>
      </c>
      <c r="C29" t="s">
        <v>64</v>
      </c>
      <c r="D29">
        <v>13</v>
      </c>
    </row>
    <row r="30" spans="1:4" ht="15">
      <c r="A30">
        <v>26</v>
      </c>
      <c r="B30" t="s">
        <v>91</v>
      </c>
      <c r="C30" t="s">
        <v>66</v>
      </c>
      <c r="D30">
        <v>26</v>
      </c>
    </row>
    <row r="31" spans="1:4" ht="15">
      <c r="A31">
        <v>27</v>
      </c>
      <c r="B31" t="s">
        <v>92</v>
      </c>
      <c r="C31" t="s">
        <v>66</v>
      </c>
      <c r="D31">
        <v>24</v>
      </c>
    </row>
    <row r="32" spans="1:4" ht="15">
      <c r="A32">
        <v>28</v>
      </c>
      <c r="B32" t="s">
        <v>93</v>
      </c>
      <c r="C32" t="s">
        <v>64</v>
      </c>
      <c r="D32">
        <v>17</v>
      </c>
    </row>
    <row r="33" spans="1:4" ht="15">
      <c r="A33">
        <v>29</v>
      </c>
      <c r="B33" t="s">
        <v>94</v>
      </c>
      <c r="C33" t="s">
        <v>66</v>
      </c>
      <c r="D33">
        <v>24</v>
      </c>
    </row>
    <row r="34" spans="1:4" ht="15">
      <c r="A34">
        <v>30</v>
      </c>
      <c r="B34" t="s">
        <v>95</v>
      </c>
      <c r="C34" t="s">
        <v>66</v>
      </c>
      <c r="D34">
        <v>13</v>
      </c>
    </row>
    <row r="35" spans="1:4" ht="15">
      <c r="A35">
        <v>31</v>
      </c>
      <c r="B35" s="90" t="s">
        <v>279</v>
      </c>
      <c r="C35" s="90" t="s">
        <v>66</v>
      </c>
      <c r="D35" s="90">
        <v>11</v>
      </c>
    </row>
    <row r="36" spans="1:4" ht="15">
      <c r="A36">
        <v>32</v>
      </c>
      <c r="B36" t="s">
        <v>280</v>
      </c>
      <c r="C36" s="90" t="s">
        <v>66</v>
      </c>
      <c r="D36" s="90">
        <v>2</v>
      </c>
    </row>
    <row r="37" spans="1:4" ht="15">
      <c r="A37">
        <v>33</v>
      </c>
      <c r="B37" s="90" t="s">
        <v>281</v>
      </c>
      <c r="C37" s="90" t="s">
        <v>66</v>
      </c>
      <c r="D37" s="90">
        <v>18</v>
      </c>
    </row>
    <row r="38" spans="1:4" ht="15">
      <c r="A38">
        <v>34</v>
      </c>
      <c r="B38" t="s">
        <v>282</v>
      </c>
      <c r="C38" s="90" t="s">
        <v>66</v>
      </c>
      <c r="D38" s="90">
        <v>19</v>
      </c>
    </row>
    <row r="39" spans="1:4" ht="15">
      <c r="A39">
        <v>35</v>
      </c>
      <c r="B39" s="90" t="s">
        <v>283</v>
      </c>
      <c r="C39" s="90" t="s">
        <v>66</v>
      </c>
      <c r="D39" s="90">
        <v>15</v>
      </c>
    </row>
    <row r="40" spans="1:4" ht="15">
      <c r="A40">
        <v>36</v>
      </c>
      <c r="B40" s="90" t="s">
        <v>284</v>
      </c>
      <c r="C40" s="90" t="s">
        <v>66</v>
      </c>
      <c r="D40" s="90">
        <v>14</v>
      </c>
    </row>
    <row r="41" spans="1:4" ht="15">
      <c r="A41">
        <v>37</v>
      </c>
      <c r="B41" s="90" t="s">
        <v>285</v>
      </c>
      <c r="C41" s="90" t="s">
        <v>66</v>
      </c>
      <c r="D41" s="90">
        <v>17</v>
      </c>
    </row>
    <row r="42" spans="1:4" ht="15">
      <c r="A42">
        <v>38</v>
      </c>
      <c r="B42" t="s">
        <v>286</v>
      </c>
      <c r="C42" s="90" t="s">
        <v>66</v>
      </c>
      <c r="D42" s="90">
        <v>12</v>
      </c>
    </row>
    <row r="43" spans="1:4" ht="15">
      <c r="A43">
        <v>39</v>
      </c>
      <c r="B43" t="s">
        <v>287</v>
      </c>
      <c r="C43" s="90" t="s">
        <v>66</v>
      </c>
      <c r="D43" s="90">
        <v>24</v>
      </c>
    </row>
    <row r="44" spans="1:4" ht="15">
      <c r="A44">
        <v>40</v>
      </c>
      <c r="B44" t="s">
        <v>288</v>
      </c>
      <c r="C44" s="90" t="s">
        <v>66</v>
      </c>
      <c r="D44" s="90">
        <v>11</v>
      </c>
    </row>
    <row r="45" spans="1:4" ht="15">
      <c r="A45">
        <v>41</v>
      </c>
      <c r="B45" s="90" t="s">
        <v>242</v>
      </c>
      <c r="C45" s="90" t="s">
        <v>64</v>
      </c>
      <c r="D45" s="90">
        <v>41</v>
      </c>
    </row>
    <row r="46" spans="1:4" ht="15">
      <c r="A46">
        <v>42</v>
      </c>
      <c r="B46" s="90" t="s">
        <v>243</v>
      </c>
      <c r="C46" s="90" t="s">
        <v>64</v>
      </c>
      <c r="D46" s="90">
        <v>29</v>
      </c>
    </row>
    <row r="47" spans="1:4" ht="15">
      <c r="A47">
        <v>43</v>
      </c>
      <c r="B47" s="90" t="s">
        <v>244</v>
      </c>
      <c r="C47" s="90" t="s">
        <v>64</v>
      </c>
      <c r="D47" s="90">
        <v>32</v>
      </c>
    </row>
    <row r="48" spans="1:4" ht="15">
      <c r="A48">
        <v>44</v>
      </c>
      <c r="B48" s="90" t="s">
        <v>245</v>
      </c>
      <c r="C48" s="90" t="s">
        <v>64</v>
      </c>
      <c r="D48" s="90">
        <v>17</v>
      </c>
    </row>
    <row r="49" spans="1:4" ht="15">
      <c r="A49">
        <v>45</v>
      </c>
      <c r="B49" s="90" t="s">
        <v>246</v>
      </c>
      <c r="C49" s="90" t="s">
        <v>64</v>
      </c>
      <c r="D49" s="90">
        <v>40</v>
      </c>
    </row>
    <row r="50" spans="1:4" ht="15">
      <c r="A50">
        <v>46</v>
      </c>
      <c r="B50" s="90" t="s">
        <v>247</v>
      </c>
      <c r="C50" s="90" t="s">
        <v>64</v>
      </c>
      <c r="D50" s="90">
        <v>118</v>
      </c>
    </row>
    <row r="51" spans="1:4" ht="15">
      <c r="A51">
        <v>47</v>
      </c>
      <c r="B51" s="90" t="s">
        <v>248</v>
      </c>
      <c r="C51" s="90" t="s">
        <v>64</v>
      </c>
      <c r="D51" s="90">
        <v>88</v>
      </c>
    </row>
    <row r="52" spans="1:4" ht="15">
      <c r="A52">
        <v>48</v>
      </c>
      <c r="B52" s="90" t="s">
        <v>249</v>
      </c>
      <c r="C52" s="90" t="s">
        <v>64</v>
      </c>
      <c r="D52" s="90">
        <v>28</v>
      </c>
    </row>
    <row r="53" spans="1:4" ht="15">
      <c r="A53">
        <v>49</v>
      </c>
      <c r="B53" s="90" t="s">
        <v>250</v>
      </c>
      <c r="C53" s="90" t="s">
        <v>64</v>
      </c>
      <c r="D53" s="90">
        <v>35</v>
      </c>
    </row>
    <row r="54" spans="1:4" ht="15">
      <c r="A54">
        <v>50</v>
      </c>
      <c r="B54" s="90" t="s">
        <v>251</v>
      </c>
      <c r="C54" s="90" t="s">
        <v>64</v>
      </c>
      <c r="D54" s="90">
        <v>62</v>
      </c>
    </row>
    <row r="55" spans="1:4" ht="15">
      <c r="A55">
        <v>51</v>
      </c>
      <c r="B55" s="90" t="s">
        <v>252</v>
      </c>
      <c r="C55" s="90" t="s">
        <v>64</v>
      </c>
      <c r="D55" s="90">
        <v>45</v>
      </c>
    </row>
    <row r="56" spans="1:4" ht="15">
      <c r="A56">
        <v>52</v>
      </c>
      <c r="B56" s="90" t="s">
        <v>253</v>
      </c>
      <c r="C56" s="90" t="s">
        <v>64</v>
      </c>
      <c r="D56" s="90">
        <v>30</v>
      </c>
    </row>
    <row r="57" spans="1:4" ht="15">
      <c r="A57">
        <v>53</v>
      </c>
      <c r="B57" s="90" t="s">
        <v>254</v>
      </c>
      <c r="C57" s="90" t="s">
        <v>64</v>
      </c>
      <c r="D57" s="90">
        <v>60</v>
      </c>
    </row>
    <row r="58" spans="1:4" ht="15">
      <c r="A58">
        <v>54</v>
      </c>
      <c r="B58" s="90" t="s">
        <v>255</v>
      </c>
      <c r="C58" s="90" t="s">
        <v>64</v>
      </c>
      <c r="D58" s="90">
        <v>56</v>
      </c>
    </row>
    <row r="59" spans="1:4" ht="15">
      <c r="A59">
        <v>55</v>
      </c>
      <c r="B59" s="90" t="s">
        <v>256</v>
      </c>
      <c r="C59" s="90" t="s">
        <v>64</v>
      </c>
      <c r="D59" s="90">
        <v>71</v>
      </c>
    </row>
    <row r="60" spans="1:4" ht="15">
      <c r="A60">
        <v>56</v>
      </c>
      <c r="B60" s="90" t="s">
        <v>257</v>
      </c>
      <c r="C60" s="90" t="s">
        <v>64</v>
      </c>
      <c r="D60" s="90">
        <v>31</v>
      </c>
    </row>
    <row r="61" spans="1:4" ht="15">
      <c r="A61">
        <v>57</v>
      </c>
      <c r="B61" s="90" t="s">
        <v>258</v>
      </c>
      <c r="C61" s="90" t="s">
        <v>64</v>
      </c>
      <c r="D61" s="90">
        <v>40</v>
      </c>
    </row>
    <row r="62" spans="1:4" ht="15">
      <c r="A62">
        <v>58</v>
      </c>
      <c r="B62" s="90" t="s">
        <v>259</v>
      </c>
      <c r="C62" s="90" t="s">
        <v>64</v>
      </c>
      <c r="D62" s="90">
        <v>19</v>
      </c>
    </row>
    <row r="63" spans="1:4" ht="15">
      <c r="A63">
        <v>59</v>
      </c>
      <c r="B63" s="90" t="s">
        <v>260</v>
      </c>
      <c r="C63" s="90" t="s">
        <v>64</v>
      </c>
      <c r="D63" s="90">
        <v>82</v>
      </c>
    </row>
    <row r="64" spans="1:4" ht="15">
      <c r="A64">
        <v>60</v>
      </c>
      <c r="B64" s="90" t="s">
        <v>261</v>
      </c>
      <c r="C64" s="90" t="s">
        <v>64</v>
      </c>
      <c r="D64" s="90">
        <v>89</v>
      </c>
    </row>
    <row r="65" spans="1:4" ht="15">
      <c r="A65">
        <v>61</v>
      </c>
      <c r="B65" s="90" t="s">
        <v>262</v>
      </c>
      <c r="C65" s="90" t="s">
        <v>64</v>
      </c>
      <c r="D65" s="90">
        <v>47</v>
      </c>
    </row>
    <row r="66" spans="1:4" ht="15">
      <c r="A66">
        <v>62</v>
      </c>
      <c r="B66" s="90" t="s">
        <v>263</v>
      </c>
      <c r="C66" s="90" t="s">
        <v>64</v>
      </c>
      <c r="D66" s="90">
        <v>31</v>
      </c>
    </row>
    <row r="67" spans="1:4" ht="15">
      <c r="A67">
        <v>63</v>
      </c>
      <c r="B67" s="90" t="s">
        <v>264</v>
      </c>
      <c r="C67" s="90" t="s">
        <v>64</v>
      </c>
      <c r="D67" s="90">
        <v>32</v>
      </c>
    </row>
    <row r="68" spans="1:4" ht="15">
      <c r="A68">
        <v>64</v>
      </c>
      <c r="B68" s="90" t="s">
        <v>265</v>
      </c>
      <c r="C68" s="90" t="s">
        <v>64</v>
      </c>
      <c r="D68" s="90">
        <v>50</v>
      </c>
    </row>
    <row r="69" spans="1:4" ht="15">
      <c r="A69">
        <v>65</v>
      </c>
      <c r="B69" s="90" t="s">
        <v>266</v>
      </c>
      <c r="C69" s="90" t="s">
        <v>64</v>
      </c>
      <c r="D69" s="90">
        <v>33</v>
      </c>
    </row>
    <row r="70" spans="1:4" ht="15">
      <c r="A70">
        <v>66</v>
      </c>
      <c r="B70" s="90" t="s">
        <v>267</v>
      </c>
      <c r="C70" s="90" t="s">
        <v>64</v>
      </c>
      <c r="D70" s="90">
        <v>59</v>
      </c>
    </row>
    <row r="71" spans="1:4" ht="15">
      <c r="A71">
        <v>67</v>
      </c>
      <c r="B71" s="90" t="s">
        <v>268</v>
      </c>
      <c r="C71" s="90" t="s">
        <v>64</v>
      </c>
      <c r="D71" s="90">
        <v>31</v>
      </c>
    </row>
    <row r="72" spans="1:4" ht="15">
      <c r="A72">
        <v>68</v>
      </c>
      <c r="B72" t="s">
        <v>269</v>
      </c>
      <c r="C72" s="90" t="s">
        <v>66</v>
      </c>
      <c r="D72" s="90">
        <v>6</v>
      </c>
    </row>
    <row r="73" spans="1:4" ht="15">
      <c r="A73">
        <v>69</v>
      </c>
      <c r="B73" t="s">
        <v>270</v>
      </c>
      <c r="C73" s="90" t="s">
        <v>66</v>
      </c>
      <c r="D73" s="90">
        <v>28</v>
      </c>
    </row>
    <row r="74" spans="1:4" ht="15">
      <c r="A74">
        <v>70</v>
      </c>
      <c r="B74" t="s">
        <v>271</v>
      </c>
      <c r="C74" s="90" t="s">
        <v>66</v>
      </c>
      <c r="D74" s="90">
        <v>17</v>
      </c>
    </row>
    <row r="75" spans="1:4" ht="15">
      <c r="A75">
        <v>71</v>
      </c>
      <c r="B75" t="s">
        <v>272</v>
      </c>
      <c r="C75" s="90" t="s">
        <v>66</v>
      </c>
      <c r="D75" s="90">
        <v>11</v>
      </c>
    </row>
    <row r="76" spans="1:4" ht="15">
      <c r="A76">
        <v>72</v>
      </c>
      <c r="B76" t="s">
        <v>273</v>
      </c>
      <c r="C76" s="90" t="s">
        <v>66</v>
      </c>
      <c r="D76" s="90">
        <v>47</v>
      </c>
    </row>
    <row r="77" spans="1:4" ht="15">
      <c r="A77">
        <v>73</v>
      </c>
      <c r="B77" t="s">
        <v>274</v>
      </c>
      <c r="C77" s="90" t="s">
        <v>66</v>
      </c>
      <c r="D77" s="90">
        <v>22</v>
      </c>
    </row>
    <row r="78" spans="1:4" ht="15">
      <c r="A78">
        <v>74</v>
      </c>
      <c r="B78" t="s">
        <v>275</v>
      </c>
      <c r="C78" s="90" t="s">
        <v>66</v>
      </c>
      <c r="D78" s="90">
        <v>11</v>
      </c>
    </row>
    <row r="79" spans="1:4" ht="15">
      <c r="A79">
        <v>75</v>
      </c>
      <c r="B79" t="s">
        <v>276</v>
      </c>
      <c r="C79" s="90" t="s">
        <v>66</v>
      </c>
      <c r="D79" s="90">
        <v>3</v>
      </c>
    </row>
    <row r="80" spans="1:4" ht="15">
      <c r="A80">
        <v>76</v>
      </c>
      <c r="B80" t="s">
        <v>277</v>
      </c>
      <c r="C80" s="90" t="s">
        <v>66</v>
      </c>
      <c r="D80" s="90">
        <v>5</v>
      </c>
    </row>
    <row r="81" spans="1:4" ht="15">
      <c r="A81">
        <v>77</v>
      </c>
      <c r="B81" t="s">
        <v>278</v>
      </c>
      <c r="C81" s="90" t="s">
        <v>66</v>
      </c>
      <c r="D81" s="90">
        <v>16</v>
      </c>
    </row>
  </sheetData>
  <mergeCells count="2">
    <mergeCell ref="F2:H2"/>
    <mergeCell ref="K2:M2"/>
  </mergeCells>
  <printOptions/>
  <pageMargins left="0.7" right="0.7" top="0.75" bottom="0.75" header="0.3" footer="0.3"/>
  <pageSetup horizontalDpi="600" verticalDpi="600" orientation="portrait" paperSize="9"/>
  <legacyDrawing r:id="rId2"/>
  <tableParts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 topLeftCell="A1">
      <selection activeCell="K32" sqref="K32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5" max="5" width="17.00390625" style="0" customWidth="1"/>
    <col min="6" max="6" width="11.421875" style="0" bestFit="1" customWidth="1"/>
    <col min="8" max="8" width="22.140625" style="0" customWidth="1"/>
    <col min="10" max="10" width="9.8515625" style="0" bestFit="1" customWidth="1"/>
    <col min="11" max="12" width="3.421875" style="0" customWidth="1"/>
    <col min="13" max="13" width="32.00390625" style="0" bestFit="1" customWidth="1"/>
  </cols>
  <sheetData>
    <row r="1" ht="15.75" thickBot="1"/>
    <row r="2" spans="2:15" ht="32.25" thickTop="1">
      <c r="B2" s="89">
        <v>2011</v>
      </c>
      <c r="H2" s="273" t="s">
        <v>140</v>
      </c>
      <c r="I2" s="274"/>
      <c r="J2" s="275"/>
      <c r="M2" s="273" t="s">
        <v>141</v>
      </c>
      <c r="N2" s="274"/>
      <c r="O2" s="275"/>
    </row>
    <row r="3" spans="8:15" ht="15">
      <c r="H3" s="95"/>
      <c r="I3" s="90"/>
      <c r="J3" s="96"/>
      <c r="M3" s="95"/>
      <c r="N3" s="90"/>
      <c r="O3" s="96"/>
    </row>
    <row r="4" spans="2:15" ht="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 ht="15">
      <c r="B5" s="117" t="s">
        <v>317</v>
      </c>
      <c r="C5" s="115" t="s">
        <v>66</v>
      </c>
      <c r="D5">
        <v>17</v>
      </c>
      <c r="E5">
        <v>17</v>
      </c>
      <c r="F5" s="88">
        <f>Tabla6[[#This Row],[Texto completo]]/Tabla6[[#This Row],[Referencias]]</f>
        <v>1</v>
      </c>
      <c r="H5" s="95" t="s">
        <v>127</v>
      </c>
      <c r="I5" s="94">
        <f>STDEV(D5:D34)</f>
        <v>15.788690845687292</v>
      </c>
      <c r="J5" s="96"/>
      <c r="M5" s="95" t="s">
        <v>138</v>
      </c>
      <c r="N5" s="94">
        <f>SUM(Tabla6[Texto completo])/SUM(Tabla6[Referencias])</f>
        <v>0.6415929203539823</v>
      </c>
      <c r="O5" s="96"/>
    </row>
    <row r="6" spans="2:15" ht="15">
      <c r="B6" s="118" t="s">
        <v>318</v>
      </c>
      <c r="C6" s="115" t="s">
        <v>64</v>
      </c>
      <c r="D6">
        <v>14</v>
      </c>
      <c r="E6">
        <v>13</v>
      </c>
      <c r="F6" s="88">
        <f>Tabla6[[#This Row],[Texto completo]]/Tabla6[[#This Row],[Referencias]]</f>
        <v>0.9285714285714286</v>
      </c>
      <c r="H6" s="95"/>
      <c r="I6" s="90"/>
      <c r="J6" s="96"/>
      <c r="M6" s="95"/>
      <c r="N6" s="90"/>
      <c r="O6" s="96"/>
    </row>
    <row r="7" spans="2:15" ht="15">
      <c r="B7" s="119" t="s">
        <v>319</v>
      </c>
      <c r="C7" s="115" t="s">
        <v>64</v>
      </c>
      <c r="D7">
        <v>15</v>
      </c>
      <c r="E7">
        <v>13</v>
      </c>
      <c r="F7" s="88">
        <f>Tabla6[[#This Row],[Texto completo]]/Tabla6[[#This Row],[Referencias]]</f>
        <v>0.8666666666666667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 ht="15">
      <c r="B8" s="115" t="s">
        <v>320</v>
      </c>
      <c r="C8" s="115" t="s">
        <v>66</v>
      </c>
      <c r="D8">
        <v>9</v>
      </c>
      <c r="E8">
        <v>2</v>
      </c>
      <c r="F8" s="88">
        <f>Tabla6[[#This Row],[Texto completo]]/Tabla6[[#This Row],[Referencias]]</f>
        <v>0.2222222222222222</v>
      </c>
      <c r="H8" s="95"/>
      <c r="I8" s="90"/>
      <c r="J8" s="96"/>
      <c r="M8" s="95"/>
      <c r="N8" s="90"/>
      <c r="O8" s="96"/>
    </row>
    <row r="9" spans="2:15" ht="15">
      <c r="B9" s="120" t="s">
        <v>321</v>
      </c>
      <c r="C9" s="115" t="s">
        <v>66</v>
      </c>
      <c r="D9">
        <v>35</v>
      </c>
      <c r="E9">
        <v>23</v>
      </c>
      <c r="F9" s="88">
        <f>Tabla6[[#This Row],[Texto completo]]/Tabla6[[#This Row],[Referencias]]</f>
        <v>0.6571428571428571</v>
      </c>
      <c r="H9" s="95" t="s">
        <v>129</v>
      </c>
      <c r="I9" s="90">
        <v>5</v>
      </c>
      <c r="J9" s="96"/>
      <c r="M9" s="95" t="s">
        <v>129</v>
      </c>
      <c r="N9" s="90">
        <v>0.036</v>
      </c>
      <c r="O9" s="96"/>
    </row>
    <row r="10" spans="2:15" ht="15">
      <c r="B10" s="120" t="s">
        <v>322</v>
      </c>
      <c r="C10" s="115" t="s">
        <v>66</v>
      </c>
      <c r="D10">
        <v>5</v>
      </c>
      <c r="E10">
        <v>4</v>
      </c>
      <c r="F10" s="88">
        <f>Tabla6[[#This Row],[Texto completo]]/Tabla6[[#This Row],[Referencias]]</f>
        <v>0.8</v>
      </c>
      <c r="H10" s="95"/>
      <c r="I10" s="90"/>
      <c r="J10" s="96"/>
      <c r="M10" s="95"/>
      <c r="N10" s="90"/>
      <c r="O10" s="96"/>
    </row>
    <row r="11" spans="2:15" ht="15">
      <c r="B11" s="118" t="s">
        <v>323</v>
      </c>
      <c r="C11" s="115" t="s">
        <v>64</v>
      </c>
      <c r="D11">
        <v>58</v>
      </c>
      <c r="E11">
        <v>51</v>
      </c>
      <c r="F11" s="88">
        <f>Tabla6[[#This Row],[Texto completo]]/Tabla6[[#This Row],[Referencias]]</f>
        <v>0.8793103448275862</v>
      </c>
      <c r="H11" s="95" t="s">
        <v>130</v>
      </c>
      <c r="I11" s="91">
        <f>((I7*I7)*(I5*I5))/(I9*I9)</f>
        <v>38.30578582068966</v>
      </c>
      <c r="J11" s="96"/>
      <c r="M11" s="95" t="s">
        <v>130</v>
      </c>
      <c r="N11" s="91">
        <f>((N7*N7)*N5*(1-N5))/(N9*N9)</f>
        <v>681.6215052079256</v>
      </c>
      <c r="O11" s="96"/>
    </row>
    <row r="12" spans="2:15" ht="15">
      <c r="B12" s="118" t="s">
        <v>324</v>
      </c>
      <c r="C12" s="115" t="s">
        <v>66</v>
      </c>
      <c r="D12">
        <v>6</v>
      </c>
      <c r="E12">
        <v>3</v>
      </c>
      <c r="F12" s="88">
        <f>Tabla6[[#This Row],[Texto completo]]/Tabla6[[#This Row],[Referencias]]</f>
        <v>0.5</v>
      </c>
      <c r="H12" s="95"/>
      <c r="I12" s="90"/>
      <c r="J12" s="96"/>
      <c r="M12" s="95"/>
      <c r="N12" s="90"/>
      <c r="O12" s="96"/>
    </row>
    <row r="13" spans="2:15" ht="15">
      <c r="B13" s="118" t="s">
        <v>325</v>
      </c>
      <c r="C13" s="115" t="s">
        <v>64</v>
      </c>
      <c r="D13">
        <v>71</v>
      </c>
      <c r="E13">
        <v>44</v>
      </c>
      <c r="F13" s="88">
        <f>Tabla6[[#This Row],[Texto completo]]/Tabla6[[#This Row],[Referencias]]</f>
        <v>0.6197183098591549</v>
      </c>
      <c r="H13" s="95"/>
      <c r="I13" s="90"/>
      <c r="J13" s="96"/>
      <c r="M13" s="95"/>
      <c r="N13" s="90"/>
      <c r="O13" s="96"/>
    </row>
    <row r="14" spans="2:15" ht="15">
      <c r="B14" s="116" t="s">
        <v>326</v>
      </c>
      <c r="C14" s="116" t="s">
        <v>66</v>
      </c>
      <c r="D14">
        <v>12</v>
      </c>
      <c r="E14">
        <v>5</v>
      </c>
      <c r="F14" s="88">
        <f>Tabla6[[#This Row],[Texto completo]]/Tabla6[[#This Row],[Referencias]]</f>
        <v>0.4166666666666667</v>
      </c>
      <c r="H14" s="95"/>
      <c r="I14" s="90"/>
      <c r="J14" s="96"/>
      <c r="M14" s="95"/>
      <c r="N14" s="90"/>
      <c r="O14" s="96"/>
    </row>
    <row r="15" spans="2:15" ht="15">
      <c r="B15" t="s">
        <v>327</v>
      </c>
      <c r="C15" s="121" t="s">
        <v>66</v>
      </c>
      <c r="D15">
        <v>12</v>
      </c>
      <c r="E15">
        <v>7</v>
      </c>
      <c r="F15" s="88">
        <f>Tabla6[[#This Row],[Texto completo]]/Tabla6[[#This Row],[Referencias]]</f>
        <v>0.5833333333333334</v>
      </c>
      <c r="H15" s="95"/>
      <c r="I15" s="90"/>
      <c r="J15" s="96"/>
      <c r="M15" s="95"/>
      <c r="N15" s="90"/>
      <c r="O15" s="96"/>
    </row>
    <row r="16" spans="2:15" ht="15">
      <c r="B16" t="s">
        <v>328</v>
      </c>
      <c r="C16" s="121" t="s">
        <v>64</v>
      </c>
      <c r="D16">
        <v>47</v>
      </c>
      <c r="E16">
        <v>28</v>
      </c>
      <c r="F16" s="88">
        <f>Tabla6[[#This Row],[Texto completo]]/Tabla6[[#This Row],[Referencias]]</f>
        <v>0.5957446808510638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 ht="15">
      <c r="B17" t="s">
        <v>329</v>
      </c>
      <c r="C17" s="122" t="s">
        <v>64</v>
      </c>
      <c r="D17">
        <v>33</v>
      </c>
      <c r="E17">
        <v>28</v>
      </c>
      <c r="F17" s="88">
        <f>Tabla6[[#This Row],[Texto completo]]/Tabla6[[#This Row],[Referencias]]</f>
        <v>0.8484848484848485</v>
      </c>
      <c r="H17" s="95" t="s">
        <v>131</v>
      </c>
      <c r="I17" s="91">
        <f>AVERAGE(Tabla6[Referencias])</f>
        <v>22.6</v>
      </c>
      <c r="J17" s="96"/>
      <c r="M17" s="95" t="s">
        <v>138</v>
      </c>
      <c r="N17" s="94">
        <f>N5</f>
        <v>0.6415929203539823</v>
      </c>
      <c r="O17" s="96"/>
    </row>
    <row r="18" spans="2:15" ht="15">
      <c r="B18" t="s">
        <v>330</v>
      </c>
      <c r="C18" s="123" t="s">
        <v>64</v>
      </c>
      <c r="D18">
        <v>33</v>
      </c>
      <c r="E18">
        <v>17</v>
      </c>
      <c r="F18" s="88">
        <f>Tabla6[[#This Row],[Texto completo]]/Tabla6[[#This Row],[Referencias]]</f>
        <v>0.5151515151515151</v>
      </c>
      <c r="H18" s="95"/>
      <c r="I18" s="90"/>
      <c r="J18" s="96"/>
      <c r="M18" s="95"/>
      <c r="N18" s="90"/>
      <c r="O18" s="96"/>
    </row>
    <row r="19" spans="2:15" ht="15">
      <c r="B19" t="s">
        <v>331</v>
      </c>
      <c r="C19" s="124" t="s">
        <v>64</v>
      </c>
      <c r="D19">
        <v>35</v>
      </c>
      <c r="E19">
        <v>25</v>
      </c>
      <c r="F19" s="88">
        <f>Tabla6[[#This Row],[Texto completo]]/Tabla6[[#This Row],[Referencias]]</f>
        <v>0.7142857142857143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 ht="15">
      <c r="B20" t="s">
        <v>332</v>
      </c>
      <c r="C20" s="125" t="s">
        <v>64</v>
      </c>
      <c r="D20">
        <v>28</v>
      </c>
      <c r="E20">
        <v>6</v>
      </c>
      <c r="F20" s="88">
        <f>Tabla6[[#This Row],[Texto completo]]/Tabla6[[#This Row],[Referencias]]</f>
        <v>0.21428571428571427</v>
      </c>
      <c r="H20" s="95"/>
      <c r="I20" s="90"/>
      <c r="J20" s="96"/>
      <c r="M20" s="95"/>
      <c r="N20" s="90"/>
      <c r="O20" s="96"/>
    </row>
    <row r="21" spans="2:15" ht="15">
      <c r="B21" s="118" t="s">
        <v>333</v>
      </c>
      <c r="C21" s="126" t="s">
        <v>66</v>
      </c>
      <c r="D21">
        <v>23</v>
      </c>
      <c r="E21">
        <v>11</v>
      </c>
      <c r="F21" s="88">
        <f>Tabla6[[#This Row],[Texto completo]]/Tabla6[[#This Row],[Referencias]]</f>
        <v>0.4782608695652174</v>
      </c>
      <c r="H21" s="95" t="s">
        <v>133</v>
      </c>
      <c r="I21" s="91">
        <f>I5/SQRT(30)</f>
        <v>2.882607376552749</v>
      </c>
      <c r="J21" s="96"/>
      <c r="M21" s="95" t="s">
        <v>139</v>
      </c>
      <c r="N21" s="94">
        <f>SQRT($N$17*(1-$N$17)/SUM(Tabla6[Referencias]))</f>
        <v>0.01841633576921987</v>
      </c>
      <c r="O21" s="96"/>
    </row>
    <row r="22" spans="2:15" ht="15">
      <c r="B22" t="s">
        <v>334</v>
      </c>
      <c r="C22" s="127" t="s">
        <v>64</v>
      </c>
      <c r="D22">
        <v>17</v>
      </c>
      <c r="E22">
        <v>8</v>
      </c>
      <c r="F22" s="88">
        <f>Tabla6[[#This Row],[Texto completo]]/Tabla6[[#This Row],[Referencias]]</f>
        <v>0.47058823529411764</v>
      </c>
      <c r="H22" s="95"/>
      <c r="I22" s="90"/>
      <c r="J22" s="96"/>
      <c r="M22" s="95"/>
      <c r="N22" s="90"/>
      <c r="O22" s="96"/>
    </row>
    <row r="23" spans="2:15" ht="15.75" thickBot="1">
      <c r="B23" t="s">
        <v>335</v>
      </c>
      <c r="C23" s="128" t="s">
        <v>66</v>
      </c>
      <c r="D23">
        <v>18</v>
      </c>
      <c r="E23">
        <v>4</v>
      </c>
      <c r="F23" s="88">
        <f>Tabla6[[#This Row],[Texto completo]]/Tabla6[[#This Row],[Referencias]]</f>
        <v>0.2222222222222222</v>
      </c>
      <c r="H23" s="97" t="s">
        <v>134</v>
      </c>
      <c r="I23" s="98">
        <f>$I$17-$I$19*$I$21</f>
        <v>16.950089541956615</v>
      </c>
      <c r="J23" s="99">
        <f>$I$17+$I$19*$I$21</f>
        <v>28.249910458043388</v>
      </c>
      <c r="K23" s="92"/>
      <c r="M23" s="97" t="s">
        <v>132</v>
      </c>
      <c r="N23" s="98">
        <f>$N$17-$N$19*N21</f>
        <v>0.6054969022463114</v>
      </c>
      <c r="O23" s="99">
        <f>$N$17+$N$19*$N$21</f>
        <v>0.6776889384616532</v>
      </c>
    </row>
    <row r="24" spans="2:6" ht="15.75" thickTop="1">
      <c r="B24" t="s">
        <v>336</v>
      </c>
      <c r="C24" s="129" t="s">
        <v>66</v>
      </c>
      <c r="D24">
        <v>15</v>
      </c>
      <c r="E24">
        <v>7</v>
      </c>
      <c r="F24" s="88">
        <f>Tabla6[[#This Row],[Texto completo]]/Tabla6[[#This Row],[Referencias]]</f>
        <v>0.4666666666666667</v>
      </c>
    </row>
    <row r="25" spans="2:6" ht="15">
      <c r="B25" s="140" t="s">
        <v>346</v>
      </c>
      <c r="C25" s="130" t="s">
        <v>64</v>
      </c>
      <c r="D25">
        <v>14</v>
      </c>
      <c r="E25">
        <v>11</v>
      </c>
      <c r="F25" s="88">
        <f>Tabla6[[#This Row],[Texto completo]]/Tabla6[[#This Row],[Referencias]]</f>
        <v>0.7857142857142857</v>
      </c>
    </row>
    <row r="26" spans="2:6" ht="15">
      <c r="B26" t="s">
        <v>337</v>
      </c>
      <c r="C26" s="131" t="s">
        <v>66</v>
      </c>
      <c r="D26">
        <v>7</v>
      </c>
      <c r="E26">
        <v>4</v>
      </c>
      <c r="F26" s="88">
        <f>Tabla6[[#This Row],[Texto completo]]/Tabla6[[#This Row],[Referencias]]</f>
        <v>0.5714285714285714</v>
      </c>
    </row>
    <row r="27" spans="2:6" ht="15">
      <c r="B27" t="s">
        <v>338</v>
      </c>
      <c r="C27" s="132" t="s">
        <v>64</v>
      </c>
      <c r="D27">
        <v>14</v>
      </c>
      <c r="E27">
        <v>6</v>
      </c>
      <c r="F27" s="88">
        <f>Tabla6[[#This Row],[Texto completo]]/Tabla6[[#This Row],[Referencias]]</f>
        <v>0.42857142857142855</v>
      </c>
    </row>
    <row r="28" spans="2:6" ht="15">
      <c r="B28" t="s">
        <v>339</v>
      </c>
      <c r="C28" s="133" t="s">
        <v>66</v>
      </c>
      <c r="D28">
        <v>6</v>
      </c>
      <c r="E28">
        <v>4</v>
      </c>
      <c r="F28" s="88">
        <f>Tabla6[[#This Row],[Texto completo]]/Tabla6[[#This Row],[Referencias]]</f>
        <v>0.6666666666666666</v>
      </c>
    </row>
    <row r="29" spans="2:6" ht="15">
      <c r="B29" t="s">
        <v>340</v>
      </c>
      <c r="C29" s="134" t="s">
        <v>64</v>
      </c>
      <c r="D29">
        <v>30</v>
      </c>
      <c r="E29">
        <v>24</v>
      </c>
      <c r="F29" s="88">
        <f>Tabla6[[#This Row],[Texto completo]]/Tabla6[[#This Row],[Referencias]]</f>
        <v>0.8</v>
      </c>
    </row>
    <row r="30" spans="2:6" ht="15">
      <c r="B30" t="s">
        <v>341</v>
      </c>
      <c r="C30" s="135" t="s">
        <v>64</v>
      </c>
      <c r="D30">
        <v>20</v>
      </c>
      <c r="E30">
        <v>18</v>
      </c>
      <c r="F30" s="88">
        <f>Tabla6[[#This Row],[Texto completo]]/Tabla6[[#This Row],[Referencias]]</f>
        <v>0.9</v>
      </c>
    </row>
    <row r="31" spans="2:6" ht="15">
      <c r="B31" t="s">
        <v>342</v>
      </c>
      <c r="C31" s="136" t="s">
        <v>64</v>
      </c>
      <c r="D31">
        <v>32</v>
      </c>
      <c r="E31">
        <v>24</v>
      </c>
      <c r="F31" s="88">
        <f>Tabla6[[#This Row],[Texto completo]]/Tabla6[[#This Row],[Referencias]]</f>
        <v>0.75</v>
      </c>
    </row>
    <row r="32" spans="2:6" ht="15">
      <c r="B32" t="s">
        <v>343</v>
      </c>
      <c r="C32" s="137" t="s">
        <v>66</v>
      </c>
      <c r="D32">
        <v>4</v>
      </c>
      <c r="E32">
        <v>2</v>
      </c>
      <c r="F32" s="88">
        <f>Tabla6[[#This Row],[Texto completo]]/Tabla6[[#This Row],[Referencias]]</f>
        <v>0.5</v>
      </c>
    </row>
    <row r="33" spans="2:6" ht="15">
      <c r="B33" t="s">
        <v>344</v>
      </c>
      <c r="C33" s="138" t="s">
        <v>66</v>
      </c>
      <c r="D33">
        <v>29</v>
      </c>
      <c r="E33">
        <v>16</v>
      </c>
      <c r="F33" s="88">
        <f>Tabla6[[#This Row],[Texto completo]]/Tabla6[[#This Row],[Referencias]]</f>
        <v>0.5517241379310345</v>
      </c>
    </row>
    <row r="34" spans="2:6" ht="15">
      <c r="B34" t="s">
        <v>345</v>
      </c>
      <c r="C34" s="139" t="s">
        <v>64</v>
      </c>
      <c r="D34">
        <v>19</v>
      </c>
      <c r="E34">
        <v>10</v>
      </c>
      <c r="F34" s="88">
        <f>Tabla6[[#This Row],[Texto completo]]/Tabla6[[#This Row],[Referencias]]</f>
        <v>0.5263157894736842</v>
      </c>
    </row>
    <row r="35" spans="2:6" ht="15">
      <c r="B35" s="90"/>
      <c r="C35" s="90"/>
      <c r="D35" s="90">
        <f>SUM([Referencias])</f>
        <v>678</v>
      </c>
      <c r="E35" s="90">
        <f>SUM([Texto completo])</f>
        <v>435</v>
      </c>
      <c r="F35" s="91">
        <f>AVERAGE([Porcentaje])</f>
        <v>0.6159914391960889</v>
      </c>
    </row>
  </sheetData>
  <mergeCells count="2">
    <mergeCell ref="H2:J2"/>
    <mergeCell ref="M2:O2"/>
  </mergeCells>
  <hyperlinks>
    <hyperlink ref="B5" r:id="rId1" tooltip="Show Author Details" display="http://www.scopus.com/authid/detail.url?authorId=25931018600&amp;eid=2-s2.0-84055189960"/>
    <hyperlink ref="B6" r:id="rId2" tooltip="Show Author Details" display="http://www.scopus.com/authid/detail.url?authorId=54419474900&amp;eid=2-s2.0-82955181224"/>
    <hyperlink ref="B11" r:id="rId3" tooltip="Show Author Details" display="http://www.scopus.com/authid/detail.url?authorId=27267655900&amp;eid=2-s2.0-84855284871"/>
    <hyperlink ref="B12" r:id="rId4" tooltip="Show Author Details" display="http://www.scopus.com/authid/detail.url?authorId=26665707300&amp;eid=2-s2.0-84860551619"/>
    <hyperlink ref="B13" r:id="rId5" tooltip="Show Author Details" display="http://www.scopus.com/authid/detail.url?authorId=12785047100&amp;eid=2-s2.0-84855321142"/>
    <hyperlink ref="B21" r:id="rId6" tooltip="Show Author Details" display="http://www.scopus.com/authid/detail.url?authorId=13410544200&amp;eid=2-s2.0-80052596273"/>
  </hyperlinks>
  <printOptions/>
  <pageMargins left="0.7" right="0.7" top="0.75" bottom="0.75" header="0.3" footer="0.3"/>
  <pageSetup horizontalDpi="600" verticalDpi="600" orientation="portrait" paperSize="9"/>
  <tableParts>
    <tablePart r:id="rId8"/>
    <tablePart r:id="rId7"/>
    <tablePart r:id="rId10"/>
    <tablePart r:id="rId11"/>
    <tablePart r:id="rId9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5"/>
  <sheetViews>
    <sheetView workbookViewId="0" topLeftCell="A1">
      <selection activeCell="B25" sqref="B25:D25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6" max="6" width="22.140625" style="0" customWidth="1"/>
    <col min="8" max="8" width="9.8515625" style="0" bestFit="1" customWidth="1"/>
    <col min="9" max="10" width="3.421875" style="0" customWidth="1"/>
    <col min="11" max="11" width="32.00390625" style="0" bestFit="1" customWidth="1"/>
  </cols>
  <sheetData>
    <row r="1" ht="15.75" thickBot="1"/>
    <row r="2" spans="2:13" ht="32.25" thickTop="1">
      <c r="B2" s="89">
        <v>2011</v>
      </c>
      <c r="F2" s="273" t="s">
        <v>140</v>
      </c>
      <c r="G2" s="274"/>
      <c r="H2" s="275"/>
      <c r="K2" s="276"/>
      <c r="L2" s="276"/>
      <c r="M2" s="276"/>
    </row>
    <row r="3" spans="6:8" ht="15">
      <c r="F3" s="95"/>
      <c r="G3" s="90"/>
      <c r="H3" s="96"/>
    </row>
    <row r="4" spans="2:8" ht="15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8" ht="15">
      <c r="A5">
        <v>1</v>
      </c>
      <c r="B5" s="117" t="s">
        <v>317</v>
      </c>
      <c r="C5" s="115" t="s">
        <v>66</v>
      </c>
      <c r="D5" s="115">
        <v>17</v>
      </c>
      <c r="F5" s="95" t="s">
        <v>127</v>
      </c>
      <c r="G5" s="94">
        <f>STDEV(D5:D34)</f>
        <v>15.788690845687292</v>
      </c>
      <c r="H5" s="96"/>
    </row>
    <row r="6" spans="1:8" ht="15">
      <c r="A6">
        <v>2</v>
      </c>
      <c r="B6" s="118" t="s">
        <v>318</v>
      </c>
      <c r="C6" s="115" t="s">
        <v>64</v>
      </c>
      <c r="D6" s="115">
        <v>14</v>
      </c>
      <c r="F6" s="95"/>
      <c r="G6" s="90"/>
      <c r="H6" s="96"/>
    </row>
    <row r="7" spans="1:8" ht="15">
      <c r="A7">
        <v>3</v>
      </c>
      <c r="B7" s="119" t="s">
        <v>319</v>
      </c>
      <c r="C7" s="115" t="s">
        <v>64</v>
      </c>
      <c r="D7" s="115">
        <v>15</v>
      </c>
      <c r="F7" s="95" t="s">
        <v>128</v>
      </c>
      <c r="G7" s="90">
        <v>1.96</v>
      </c>
      <c r="H7" s="96"/>
    </row>
    <row r="8" spans="1:8" ht="15">
      <c r="A8">
        <v>4</v>
      </c>
      <c r="B8" s="115" t="s">
        <v>320</v>
      </c>
      <c r="C8" s="115" t="s">
        <v>66</v>
      </c>
      <c r="D8" s="115">
        <v>9</v>
      </c>
      <c r="F8" s="95"/>
      <c r="G8" s="90"/>
      <c r="H8" s="96"/>
    </row>
    <row r="9" spans="1:8" ht="15">
      <c r="A9">
        <v>5</v>
      </c>
      <c r="B9" s="120" t="s">
        <v>321</v>
      </c>
      <c r="C9" s="115" t="s">
        <v>66</v>
      </c>
      <c r="D9" s="115">
        <v>35</v>
      </c>
      <c r="F9" s="95" t="s">
        <v>129</v>
      </c>
      <c r="G9" s="90">
        <v>4</v>
      </c>
      <c r="H9" s="96"/>
    </row>
    <row r="10" spans="1:8" ht="15">
      <c r="A10">
        <v>6</v>
      </c>
      <c r="B10" s="120" t="s">
        <v>322</v>
      </c>
      <c r="C10" s="115" t="s">
        <v>66</v>
      </c>
      <c r="D10" s="115">
        <v>5</v>
      </c>
      <c r="F10" s="95"/>
      <c r="G10" s="90"/>
      <c r="H10" s="96"/>
    </row>
    <row r="11" spans="1:8" ht="15">
      <c r="A11">
        <v>7</v>
      </c>
      <c r="B11" s="118" t="s">
        <v>323</v>
      </c>
      <c r="C11" s="115" t="s">
        <v>64</v>
      </c>
      <c r="D11" s="115">
        <v>58</v>
      </c>
      <c r="F11" s="95" t="s">
        <v>130</v>
      </c>
      <c r="G11" s="91">
        <f>((G7*G7)*(G5*G5))/(G9*G9)</f>
        <v>59.85279034482759</v>
      </c>
      <c r="H11" s="96"/>
    </row>
    <row r="12" spans="1:8" ht="15">
      <c r="A12">
        <v>8</v>
      </c>
      <c r="B12" s="118" t="s">
        <v>324</v>
      </c>
      <c r="C12" s="115" t="s">
        <v>66</v>
      </c>
      <c r="D12" s="115">
        <v>6</v>
      </c>
      <c r="F12" s="95"/>
      <c r="G12" s="90"/>
      <c r="H12" s="96"/>
    </row>
    <row r="13" spans="1:8" ht="15">
      <c r="A13">
        <v>9</v>
      </c>
      <c r="B13" s="118" t="s">
        <v>325</v>
      </c>
      <c r="C13" s="115" t="s">
        <v>64</v>
      </c>
      <c r="D13" s="115">
        <v>71</v>
      </c>
      <c r="F13" s="95"/>
      <c r="G13" s="90"/>
      <c r="H13" s="96"/>
    </row>
    <row r="14" spans="1:8" ht="15">
      <c r="A14">
        <v>10</v>
      </c>
      <c r="B14" s="116" t="s">
        <v>326</v>
      </c>
      <c r="C14" s="116" t="s">
        <v>66</v>
      </c>
      <c r="D14" s="116">
        <v>12</v>
      </c>
      <c r="F14" s="95"/>
      <c r="G14" s="90"/>
      <c r="H14" s="96"/>
    </row>
    <row r="15" spans="1:8" ht="15">
      <c r="A15">
        <v>11</v>
      </c>
      <c r="B15" t="s">
        <v>327</v>
      </c>
      <c r="C15" s="121" t="s">
        <v>66</v>
      </c>
      <c r="D15">
        <v>12</v>
      </c>
      <c r="F15" s="95"/>
      <c r="G15" s="90"/>
      <c r="H15" s="96"/>
    </row>
    <row r="16" spans="1:8" ht="15">
      <c r="A16">
        <v>12</v>
      </c>
      <c r="B16" t="s">
        <v>328</v>
      </c>
      <c r="C16" s="121" t="s">
        <v>64</v>
      </c>
      <c r="D16">
        <v>47</v>
      </c>
      <c r="F16" s="95" t="s">
        <v>137</v>
      </c>
      <c r="G16" s="91" t="s">
        <v>136</v>
      </c>
      <c r="H16" s="96" t="s">
        <v>135</v>
      </c>
    </row>
    <row r="17" spans="1:8" ht="15">
      <c r="A17">
        <v>13</v>
      </c>
      <c r="B17" s="122" t="s">
        <v>329</v>
      </c>
      <c r="C17" s="122" t="s">
        <v>64</v>
      </c>
      <c r="D17" s="122">
        <v>33</v>
      </c>
      <c r="F17" s="95" t="s">
        <v>131</v>
      </c>
      <c r="G17" s="91">
        <f>AVERAGE(Tabla639[Referencias])</f>
        <v>21.903225806451612</v>
      </c>
      <c r="H17" s="96"/>
    </row>
    <row r="18" spans="1:8" ht="15">
      <c r="A18">
        <v>14</v>
      </c>
      <c r="B18" s="123" t="s">
        <v>330</v>
      </c>
      <c r="C18" s="123" t="s">
        <v>64</v>
      </c>
      <c r="D18" s="123">
        <v>33</v>
      </c>
      <c r="F18" s="95"/>
      <c r="G18" s="90"/>
      <c r="H18" s="96"/>
    </row>
    <row r="19" spans="1:8" ht="15">
      <c r="A19">
        <v>15</v>
      </c>
      <c r="B19" s="124" t="s">
        <v>331</v>
      </c>
      <c r="C19" s="124" t="s">
        <v>64</v>
      </c>
      <c r="D19" s="124">
        <v>35</v>
      </c>
      <c r="F19" s="95" t="s">
        <v>128</v>
      </c>
      <c r="G19" s="90">
        <v>1.96</v>
      </c>
      <c r="H19" s="96"/>
    </row>
    <row r="20" spans="1:8" ht="15">
      <c r="A20">
        <v>16</v>
      </c>
      <c r="B20" s="125" t="s">
        <v>332</v>
      </c>
      <c r="C20" s="125" t="s">
        <v>64</v>
      </c>
      <c r="D20" s="125">
        <v>28</v>
      </c>
      <c r="F20" s="95"/>
      <c r="G20" s="90"/>
      <c r="H20" s="96"/>
    </row>
    <row r="21" spans="1:8" ht="15">
      <c r="A21">
        <v>17</v>
      </c>
      <c r="B21" s="118" t="s">
        <v>333</v>
      </c>
      <c r="C21" s="126" t="s">
        <v>66</v>
      </c>
      <c r="D21" s="126">
        <v>23</v>
      </c>
      <c r="F21" s="95" t="s">
        <v>133</v>
      </c>
      <c r="G21" s="91">
        <f>G5/SQRT(30)</f>
        <v>2.882607376552749</v>
      </c>
      <c r="H21" s="96"/>
    </row>
    <row r="22" spans="1:8" ht="15">
      <c r="A22">
        <v>18</v>
      </c>
      <c r="B22" s="127" t="s">
        <v>334</v>
      </c>
      <c r="C22" s="127" t="s">
        <v>64</v>
      </c>
      <c r="D22" s="127">
        <v>17</v>
      </c>
      <c r="F22" s="95"/>
      <c r="G22" s="90"/>
      <c r="H22" s="96"/>
    </row>
    <row r="23" spans="1:9" ht="15.75" thickBot="1">
      <c r="A23">
        <v>19</v>
      </c>
      <c r="B23" s="128" t="s">
        <v>335</v>
      </c>
      <c r="C23" s="128" t="s">
        <v>66</v>
      </c>
      <c r="D23" s="128">
        <v>18</v>
      </c>
      <c r="F23" s="97" t="s">
        <v>134</v>
      </c>
      <c r="G23" s="98">
        <f>$G$17-$G$19*$G$21</f>
        <v>16.253315348408222</v>
      </c>
      <c r="H23" s="99">
        <f>$G$17+$G$19*$G$21</f>
        <v>27.553136264495002</v>
      </c>
      <c r="I23" s="92"/>
    </row>
    <row r="24" spans="1:4" ht="15.75" thickTop="1">
      <c r="A24">
        <v>20</v>
      </c>
      <c r="B24" s="129" t="s">
        <v>336</v>
      </c>
      <c r="C24" s="129" t="s">
        <v>66</v>
      </c>
      <c r="D24" s="129">
        <v>15</v>
      </c>
    </row>
    <row r="25" spans="1:4" ht="15">
      <c r="A25">
        <v>21</v>
      </c>
      <c r="B25" s="140" t="s">
        <v>346</v>
      </c>
      <c r="C25" s="140" t="s">
        <v>64</v>
      </c>
      <c r="D25" s="140">
        <v>14</v>
      </c>
    </row>
    <row r="26" spans="1:4" ht="15">
      <c r="A26">
        <v>22</v>
      </c>
      <c r="B26" s="131" t="s">
        <v>337</v>
      </c>
      <c r="C26" s="131" t="s">
        <v>66</v>
      </c>
      <c r="D26" s="131">
        <v>7</v>
      </c>
    </row>
    <row r="27" spans="1:4" ht="15">
      <c r="A27">
        <v>23</v>
      </c>
      <c r="B27" s="132" t="s">
        <v>338</v>
      </c>
      <c r="C27" s="132" t="s">
        <v>64</v>
      </c>
      <c r="D27" s="132">
        <v>14</v>
      </c>
    </row>
    <row r="28" spans="1:4" ht="15">
      <c r="A28">
        <v>24</v>
      </c>
      <c r="B28" s="133" t="s">
        <v>339</v>
      </c>
      <c r="C28" s="133" t="s">
        <v>66</v>
      </c>
      <c r="D28" s="133">
        <v>6</v>
      </c>
    </row>
    <row r="29" spans="1:4" ht="15">
      <c r="A29">
        <v>25</v>
      </c>
      <c r="B29" s="134" t="s">
        <v>340</v>
      </c>
      <c r="C29" s="134" t="s">
        <v>64</v>
      </c>
      <c r="D29" s="134">
        <v>30</v>
      </c>
    </row>
    <row r="30" spans="1:4" ht="15">
      <c r="A30">
        <v>26</v>
      </c>
      <c r="B30" s="135" t="s">
        <v>341</v>
      </c>
      <c r="C30" s="135" t="s">
        <v>64</v>
      </c>
      <c r="D30" s="135">
        <v>20</v>
      </c>
    </row>
    <row r="31" spans="1:4" ht="15">
      <c r="A31">
        <v>27</v>
      </c>
      <c r="B31" s="136" t="s">
        <v>342</v>
      </c>
      <c r="C31" s="136" t="s">
        <v>64</v>
      </c>
      <c r="D31" s="136">
        <v>32</v>
      </c>
    </row>
    <row r="32" spans="1:4" ht="15">
      <c r="A32">
        <v>28</v>
      </c>
      <c r="B32" s="137" t="s">
        <v>343</v>
      </c>
      <c r="C32" s="137" t="s">
        <v>66</v>
      </c>
      <c r="D32" s="137">
        <v>4</v>
      </c>
    </row>
    <row r="33" spans="1:4" ht="15">
      <c r="A33">
        <v>29</v>
      </c>
      <c r="B33" s="138" t="s">
        <v>344</v>
      </c>
      <c r="C33" s="138" t="s">
        <v>66</v>
      </c>
      <c r="D33" s="138">
        <v>29</v>
      </c>
    </row>
    <row r="34" spans="1:4" ht="15">
      <c r="A34">
        <v>30</v>
      </c>
      <c r="B34" s="139" t="s">
        <v>345</v>
      </c>
      <c r="C34" s="139" t="s">
        <v>64</v>
      </c>
      <c r="D34" s="139">
        <v>19</v>
      </c>
    </row>
    <row r="35" spans="1:4" ht="15">
      <c r="A35">
        <v>31</v>
      </c>
      <c r="D35">
        <v>1</v>
      </c>
    </row>
    <row r="36" ht="15">
      <c r="A36">
        <v>32</v>
      </c>
    </row>
    <row r="37" ht="15">
      <c r="A37">
        <v>33</v>
      </c>
    </row>
    <row r="38" ht="15">
      <c r="A38">
        <v>34</v>
      </c>
    </row>
    <row r="39" ht="15">
      <c r="A39">
        <v>35</v>
      </c>
    </row>
    <row r="40" ht="15">
      <c r="A40">
        <v>36</v>
      </c>
    </row>
    <row r="41" ht="15">
      <c r="A41">
        <v>37</v>
      </c>
    </row>
    <row r="42" ht="15">
      <c r="A42">
        <v>38</v>
      </c>
    </row>
    <row r="43" ht="15">
      <c r="A43">
        <v>39</v>
      </c>
    </row>
    <row r="44" ht="15">
      <c r="A44">
        <v>40</v>
      </c>
    </row>
    <row r="45" ht="15">
      <c r="A45">
        <v>41</v>
      </c>
    </row>
    <row r="46" ht="15">
      <c r="A46">
        <v>42</v>
      </c>
    </row>
    <row r="47" ht="15">
      <c r="A47">
        <v>43</v>
      </c>
    </row>
    <row r="48" ht="15">
      <c r="A48">
        <v>44</v>
      </c>
    </row>
    <row r="49" ht="15">
      <c r="A49">
        <v>45</v>
      </c>
    </row>
    <row r="50" ht="15">
      <c r="A50">
        <v>46</v>
      </c>
    </row>
    <row r="51" ht="15">
      <c r="A51">
        <v>47</v>
      </c>
    </row>
    <row r="52" ht="15">
      <c r="A52">
        <v>48</v>
      </c>
    </row>
    <row r="53" ht="15">
      <c r="A53">
        <v>49</v>
      </c>
    </row>
    <row r="54" ht="15">
      <c r="A54">
        <v>50</v>
      </c>
    </row>
    <row r="55" ht="15">
      <c r="A55">
        <v>51</v>
      </c>
    </row>
    <row r="56" ht="15">
      <c r="A56">
        <v>52</v>
      </c>
    </row>
    <row r="57" ht="15">
      <c r="A57">
        <v>53</v>
      </c>
    </row>
    <row r="58" ht="15">
      <c r="A58">
        <v>54</v>
      </c>
    </row>
    <row r="59" ht="15">
      <c r="A59">
        <v>55</v>
      </c>
    </row>
    <row r="60" ht="15">
      <c r="A60">
        <v>56</v>
      </c>
    </row>
    <row r="61" ht="15">
      <c r="A61">
        <v>57</v>
      </c>
    </row>
    <row r="62" ht="15">
      <c r="A62">
        <v>58</v>
      </c>
    </row>
    <row r="63" ht="15">
      <c r="A63">
        <v>59</v>
      </c>
    </row>
    <row r="64" ht="15">
      <c r="A64">
        <v>60</v>
      </c>
    </row>
    <row r="65" ht="15">
      <c r="A65">
        <v>61</v>
      </c>
    </row>
    <row r="66" ht="15">
      <c r="A66">
        <v>62</v>
      </c>
    </row>
    <row r="67" ht="15">
      <c r="A67">
        <v>63</v>
      </c>
    </row>
    <row r="68" ht="15">
      <c r="A68">
        <v>64</v>
      </c>
    </row>
    <row r="69" ht="15">
      <c r="A69">
        <v>65</v>
      </c>
    </row>
    <row r="70" ht="15">
      <c r="A70">
        <v>66</v>
      </c>
    </row>
    <row r="71" ht="15">
      <c r="A71">
        <v>67</v>
      </c>
    </row>
    <row r="72" ht="15">
      <c r="A72">
        <v>68</v>
      </c>
    </row>
    <row r="73" ht="15">
      <c r="A73">
        <v>69</v>
      </c>
    </row>
    <row r="74" ht="15">
      <c r="A74">
        <v>70</v>
      </c>
    </row>
    <row r="75" ht="15">
      <c r="A75">
        <v>71</v>
      </c>
    </row>
    <row r="76" ht="15">
      <c r="A76">
        <v>72</v>
      </c>
    </row>
    <row r="77" ht="15">
      <c r="A77">
        <v>73</v>
      </c>
    </row>
    <row r="78" ht="15">
      <c r="A78">
        <v>74</v>
      </c>
    </row>
    <row r="79" ht="15">
      <c r="A79">
        <v>75</v>
      </c>
    </row>
    <row r="80" ht="15">
      <c r="A80">
        <v>76</v>
      </c>
    </row>
    <row r="81" ht="15">
      <c r="A81">
        <v>77</v>
      </c>
    </row>
    <row r="82" ht="15">
      <c r="A82">
        <v>78</v>
      </c>
    </row>
    <row r="83" ht="15">
      <c r="A83">
        <v>79</v>
      </c>
    </row>
    <row r="84" ht="15">
      <c r="A84">
        <v>80</v>
      </c>
    </row>
    <row r="85" ht="15">
      <c r="A85">
        <v>81</v>
      </c>
    </row>
    <row r="86" ht="15">
      <c r="A86">
        <v>82</v>
      </c>
    </row>
    <row r="87" ht="15">
      <c r="A87">
        <v>83</v>
      </c>
    </row>
    <row r="88" ht="15">
      <c r="A88">
        <v>84</v>
      </c>
    </row>
    <row r="89" ht="15">
      <c r="A89">
        <v>85</v>
      </c>
    </row>
    <row r="90" ht="15">
      <c r="A90">
        <v>86</v>
      </c>
    </row>
    <row r="91" ht="15">
      <c r="A91">
        <v>87</v>
      </c>
    </row>
    <row r="92" ht="15">
      <c r="A92">
        <v>88</v>
      </c>
    </row>
    <row r="93" ht="15">
      <c r="A93">
        <v>89</v>
      </c>
    </row>
    <row r="94" ht="15">
      <c r="A94">
        <v>90</v>
      </c>
    </row>
    <row r="95" ht="15">
      <c r="A95">
        <v>91</v>
      </c>
    </row>
  </sheetData>
  <mergeCells count="2">
    <mergeCell ref="F2:H2"/>
    <mergeCell ref="K2:M2"/>
  </mergeCells>
  <hyperlinks>
    <hyperlink ref="B5" r:id="rId1" tooltip="Show Author Details" display="http://www.scopus.com/authid/detail.url?authorId=25931018600&amp;eid=2-s2.0-84055189960"/>
    <hyperlink ref="B6" r:id="rId2" tooltip="Show Author Details" display="http://www.scopus.com/authid/detail.url?authorId=54419474900&amp;eid=2-s2.0-82955181224"/>
    <hyperlink ref="B11" r:id="rId3" tooltip="Show Author Details" display="http://www.scopus.com/authid/detail.url?authorId=27267655900&amp;eid=2-s2.0-84855284871"/>
    <hyperlink ref="B12" r:id="rId4" tooltip="Show Author Details" display="http://www.scopus.com/authid/detail.url?authorId=26665707300&amp;eid=2-s2.0-84860551619"/>
    <hyperlink ref="B13" r:id="rId5" tooltip="Show Author Details" display="http://www.scopus.com/authid/detail.url?authorId=12785047100&amp;eid=2-s2.0-84855321142"/>
    <hyperlink ref="B21" r:id="rId6" tooltip="Show Author Details" display="http://www.scopus.com/authid/detail.url?authorId=13410544200&amp;eid=2-s2.0-80052596273"/>
  </hyperlinks>
  <printOptions/>
  <pageMargins left="0.7" right="0.7" top="0.75" bottom="0.75" header="0.3" footer="0.3"/>
  <pageSetup horizontalDpi="600" verticalDpi="600" orientation="portrait" paperSize="9"/>
  <legacyDrawing r:id="rId8"/>
  <tableParts>
    <tablePart r:id="rId10"/>
    <tablePart r:id="rId11"/>
    <tablePart r:id="rId9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 topLeftCell="A1">
      <selection activeCell="E10" sqref="E10"/>
    </sheetView>
  </sheetViews>
  <sheetFormatPr defaultColWidth="11.421875" defaultRowHeight="15"/>
  <cols>
    <col min="1" max="1" width="11.421875" style="236" customWidth="1"/>
    <col min="2" max="2" width="25.00390625" style="236" bestFit="1" customWidth="1"/>
    <col min="3" max="3" width="17.00390625" style="236" bestFit="1" customWidth="1"/>
    <col min="4" max="4" width="13.421875" style="236" customWidth="1"/>
    <col min="5" max="5" width="17.00390625" style="236" customWidth="1"/>
    <col min="6" max="6" width="11.421875" style="236" bestFit="1" customWidth="1"/>
    <col min="7" max="7" width="11.421875" style="236" customWidth="1"/>
    <col min="8" max="8" width="22.140625" style="236" customWidth="1"/>
    <col min="9" max="9" width="11.421875" style="236" customWidth="1"/>
    <col min="10" max="10" width="9.8515625" style="236" bestFit="1" customWidth="1"/>
    <col min="11" max="12" width="3.421875" style="236" customWidth="1"/>
    <col min="13" max="13" width="32.00390625" style="236" bestFit="1" customWidth="1"/>
    <col min="14" max="16384" width="11.421875" style="236" customWidth="1"/>
  </cols>
  <sheetData>
    <row r="1" ht="15.75" thickBot="1"/>
    <row r="2" spans="2:15" ht="32.25" thickTop="1">
      <c r="B2" s="89">
        <v>2012</v>
      </c>
      <c r="H2" s="273" t="s">
        <v>140</v>
      </c>
      <c r="I2" s="274"/>
      <c r="J2" s="275"/>
      <c r="M2" s="273" t="s">
        <v>141</v>
      </c>
      <c r="N2" s="274"/>
      <c r="O2" s="275"/>
    </row>
    <row r="3" spans="8:15" ht="15">
      <c r="H3" s="95"/>
      <c r="I3" s="90"/>
      <c r="J3" s="96"/>
      <c r="M3" s="95"/>
      <c r="N3" s="90"/>
      <c r="O3" s="96"/>
    </row>
    <row r="4" spans="2:15" ht="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 ht="15">
      <c r="B5" t="s">
        <v>406</v>
      </c>
      <c r="C5" s="236" t="s">
        <v>66</v>
      </c>
      <c r="D5" s="236">
        <v>28</v>
      </c>
      <c r="E5" s="236">
        <v>22</v>
      </c>
      <c r="F5" s="88">
        <f>Tabla647[[#This Row],[Texto completo]]/Tabla647[[#This Row],[Referencias]]</f>
        <v>0.7857142857142857</v>
      </c>
      <c r="H5" s="95" t="s">
        <v>127</v>
      </c>
      <c r="I5" s="94">
        <f>STDEV(D5:D34)</f>
        <v>12.189877089137358</v>
      </c>
      <c r="J5" s="96"/>
      <c r="M5" s="95" t="s">
        <v>138</v>
      </c>
      <c r="N5" s="94">
        <f>SUM(Tabla647[Texto completo])/SUM(Tabla647[Referencias])</f>
        <v>0.5606060606060606</v>
      </c>
      <c r="O5" s="96"/>
    </row>
    <row r="6" spans="2:15" ht="15">
      <c r="B6" s="118" t="s">
        <v>407</v>
      </c>
      <c r="C6" s="236" t="s">
        <v>64</v>
      </c>
      <c r="D6" s="236">
        <v>28</v>
      </c>
      <c r="E6" s="236">
        <v>10</v>
      </c>
      <c r="F6" s="88">
        <f>Tabla647[[#This Row],[Texto completo]]/Tabla647[[#This Row],[Referencias]]</f>
        <v>0.35714285714285715</v>
      </c>
      <c r="H6" s="95"/>
      <c r="I6" s="90"/>
      <c r="J6" s="96"/>
      <c r="M6" s="95"/>
      <c r="N6" s="90"/>
      <c r="O6" s="96"/>
    </row>
    <row r="7" spans="2:15" ht="15">
      <c r="B7" t="s">
        <v>408</v>
      </c>
      <c r="C7" s="236" t="s">
        <v>64</v>
      </c>
      <c r="D7" s="236">
        <v>37</v>
      </c>
      <c r="E7" s="236">
        <v>32</v>
      </c>
      <c r="F7" s="88">
        <f>Tabla647[[#This Row],[Texto completo]]/Tabla647[[#This Row],[Referencias]]</f>
        <v>0.8648648648648649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 ht="15">
      <c r="B8" t="s">
        <v>409</v>
      </c>
      <c r="C8" s="236" t="s">
        <v>64</v>
      </c>
      <c r="D8" s="236">
        <v>46</v>
      </c>
      <c r="E8" s="236">
        <v>23</v>
      </c>
      <c r="F8" s="88">
        <f>Tabla647[[#This Row],[Texto completo]]/Tabla647[[#This Row],[Referencias]]</f>
        <v>0.5</v>
      </c>
      <c r="H8" s="95"/>
      <c r="I8" s="90"/>
      <c r="J8" s="96"/>
      <c r="M8" s="95"/>
      <c r="N8" s="90"/>
      <c r="O8" s="96"/>
    </row>
    <row r="9" spans="2:15" ht="15">
      <c r="B9" t="s">
        <v>410</v>
      </c>
      <c r="C9" s="236" t="s">
        <v>64</v>
      </c>
      <c r="D9" s="236">
        <v>64</v>
      </c>
      <c r="E9" s="236">
        <v>51</v>
      </c>
      <c r="F9" s="88">
        <f>Tabla647[[#This Row],[Texto completo]]/Tabla647[[#This Row],[Referencias]]</f>
        <v>0.796875</v>
      </c>
      <c r="H9" s="95" t="s">
        <v>129</v>
      </c>
      <c r="I9" s="90">
        <v>5</v>
      </c>
      <c r="J9" s="96"/>
      <c r="M9" s="95" t="s">
        <v>129</v>
      </c>
      <c r="N9" s="90">
        <v>0.036</v>
      </c>
      <c r="O9" s="96"/>
    </row>
    <row r="10" spans="2:15" ht="15">
      <c r="B10" t="s">
        <v>411</v>
      </c>
      <c r="C10" s="236" t="s">
        <v>66</v>
      </c>
      <c r="D10" s="236">
        <v>37</v>
      </c>
      <c r="E10" s="236">
        <v>4</v>
      </c>
      <c r="F10" s="88">
        <f>Tabla647[[#This Row],[Texto completo]]/Tabla647[[#This Row],[Referencias]]</f>
        <v>0.10810810810810811</v>
      </c>
      <c r="H10" s="95"/>
      <c r="I10" s="90"/>
      <c r="J10" s="96"/>
      <c r="M10" s="95"/>
      <c r="N10" s="90"/>
      <c r="O10" s="96"/>
    </row>
    <row r="11" spans="2:15" ht="15">
      <c r="B11" t="s">
        <v>412</v>
      </c>
      <c r="C11" s="236" t="s">
        <v>66</v>
      </c>
      <c r="D11" s="236">
        <v>7</v>
      </c>
      <c r="E11" s="236">
        <v>1</v>
      </c>
      <c r="F11" s="88">
        <f>Tabla647[[#This Row],[Texto completo]]/Tabla647[[#This Row],[Referencias]]</f>
        <v>0.14285714285714285</v>
      </c>
      <c r="H11" s="95" t="s">
        <v>130</v>
      </c>
      <c r="I11" s="91">
        <f>((I7*I7)*(I5*I5))/(I9*I9)</f>
        <v>22.83341064827586</v>
      </c>
      <c r="J11" s="96"/>
      <c r="M11" s="95" t="s">
        <v>130</v>
      </c>
      <c r="N11" s="91">
        <f>((N7*N7)*N5*(1-N5))/(N9*N9)</f>
        <v>730.1616048249045</v>
      </c>
      <c r="O11" s="96"/>
    </row>
    <row r="12" spans="2:15" ht="15">
      <c r="B12" t="s">
        <v>413</v>
      </c>
      <c r="C12" s="236" t="s">
        <v>64</v>
      </c>
      <c r="D12" s="236">
        <v>35</v>
      </c>
      <c r="E12" s="236">
        <v>16</v>
      </c>
      <c r="F12" s="88">
        <f>Tabla647[[#This Row],[Texto completo]]/Tabla647[[#This Row],[Referencias]]</f>
        <v>0.45714285714285713</v>
      </c>
      <c r="H12" s="95"/>
      <c r="I12" s="90"/>
      <c r="J12" s="96"/>
      <c r="M12" s="95"/>
      <c r="N12" s="90"/>
      <c r="O12" s="96"/>
    </row>
    <row r="13" spans="2:15" ht="15">
      <c r="B13" t="s">
        <v>414</v>
      </c>
      <c r="C13" s="236" t="s">
        <v>66</v>
      </c>
      <c r="D13" s="236">
        <v>11</v>
      </c>
      <c r="E13" s="236">
        <v>9</v>
      </c>
      <c r="F13" s="88">
        <f>Tabla647[[#This Row],[Texto completo]]/Tabla647[[#This Row],[Referencias]]</f>
        <v>0.8181818181818182</v>
      </c>
      <c r="H13" s="95"/>
      <c r="I13" s="90"/>
      <c r="J13" s="96"/>
      <c r="M13" s="95"/>
      <c r="N13" s="90"/>
      <c r="O13" s="96"/>
    </row>
    <row r="14" spans="2:15" ht="15">
      <c r="B14" t="s">
        <v>415</v>
      </c>
      <c r="C14" s="236" t="s">
        <v>64</v>
      </c>
      <c r="D14" s="236">
        <v>41</v>
      </c>
      <c r="E14" s="236">
        <v>33</v>
      </c>
      <c r="F14" s="88">
        <f>Tabla647[[#This Row],[Texto completo]]/Tabla647[[#This Row],[Referencias]]</f>
        <v>0.8048780487804879</v>
      </c>
      <c r="H14" s="95"/>
      <c r="I14" s="90"/>
      <c r="J14" s="96"/>
      <c r="M14" s="95"/>
      <c r="N14" s="90"/>
      <c r="O14" s="96"/>
    </row>
    <row r="15" spans="2:15" ht="15">
      <c r="B15" t="s">
        <v>416</v>
      </c>
      <c r="C15" s="236" t="s">
        <v>66</v>
      </c>
      <c r="D15" s="236">
        <v>30</v>
      </c>
      <c r="E15" s="236">
        <v>12</v>
      </c>
      <c r="F15" s="88">
        <f>Tabla647[[#This Row],[Texto completo]]/Tabla647[[#This Row],[Referencias]]</f>
        <v>0.4</v>
      </c>
      <c r="H15" s="95"/>
      <c r="I15" s="90"/>
      <c r="J15" s="96"/>
      <c r="M15" s="95"/>
      <c r="N15" s="90"/>
      <c r="O15" s="96"/>
    </row>
    <row r="16" spans="2:15" ht="15">
      <c r="B16" t="s">
        <v>417</v>
      </c>
      <c r="C16" s="236" t="s">
        <v>64</v>
      </c>
      <c r="D16" s="236">
        <v>35</v>
      </c>
      <c r="E16" s="236">
        <v>14</v>
      </c>
      <c r="F16" s="88">
        <f>Tabla647[[#This Row],[Texto completo]]/Tabla647[[#This Row],[Referencias]]</f>
        <v>0.4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 ht="15">
      <c r="B17" t="s">
        <v>418</v>
      </c>
      <c r="C17" s="236" t="s">
        <v>64</v>
      </c>
      <c r="D17" s="236">
        <v>36</v>
      </c>
      <c r="E17" s="236">
        <v>30</v>
      </c>
      <c r="F17" s="88">
        <f>Tabla647[[#This Row],[Texto completo]]/Tabla647[[#This Row],[Referencias]]</f>
        <v>0.8333333333333334</v>
      </c>
      <c r="H17" s="95" t="s">
        <v>131</v>
      </c>
      <c r="I17" s="91">
        <f>AVERAGE(Tabla647[Referencias])</f>
        <v>28.6</v>
      </c>
      <c r="J17" s="96"/>
      <c r="M17" s="95" t="s">
        <v>138</v>
      </c>
      <c r="N17" s="94">
        <f>N5</f>
        <v>0.5606060606060606</v>
      </c>
      <c r="O17" s="96"/>
    </row>
    <row r="18" spans="2:15" ht="15">
      <c r="B18" t="s">
        <v>419</v>
      </c>
      <c r="C18" s="236" t="s">
        <v>64</v>
      </c>
      <c r="D18" s="236">
        <v>25</v>
      </c>
      <c r="E18" s="236">
        <v>6</v>
      </c>
      <c r="F18" s="88">
        <f>Tabla647[[#This Row],[Texto completo]]/Tabla647[[#This Row],[Referencias]]</f>
        <v>0.24</v>
      </c>
      <c r="H18" s="95"/>
      <c r="I18" s="90"/>
      <c r="J18" s="96"/>
      <c r="M18" s="95"/>
      <c r="N18" s="90"/>
      <c r="O18" s="96"/>
    </row>
    <row r="19" spans="2:15" ht="15">
      <c r="B19" s="118" t="s">
        <v>420</v>
      </c>
      <c r="C19" s="236" t="s">
        <v>66</v>
      </c>
      <c r="D19" s="236">
        <v>17</v>
      </c>
      <c r="E19" s="236">
        <v>9</v>
      </c>
      <c r="F19" s="88">
        <f>Tabla647[[#This Row],[Texto completo]]/Tabla647[[#This Row],[Referencias]]</f>
        <v>0.5294117647058824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 ht="15">
      <c r="B20" t="s">
        <v>421</v>
      </c>
      <c r="C20" s="236" t="s">
        <v>66</v>
      </c>
      <c r="D20" s="236">
        <v>23</v>
      </c>
      <c r="E20" s="236">
        <v>16</v>
      </c>
      <c r="F20" s="88">
        <f>Tabla647[[#This Row],[Texto completo]]/Tabla647[[#This Row],[Referencias]]</f>
        <v>0.6956521739130435</v>
      </c>
      <c r="H20" s="95"/>
      <c r="I20" s="90"/>
      <c r="J20" s="96"/>
      <c r="M20" s="95"/>
      <c r="N20" s="90"/>
      <c r="O20" s="96"/>
    </row>
    <row r="21" spans="2:15" ht="15">
      <c r="B21" t="s">
        <v>422</v>
      </c>
      <c r="C21" s="236" t="s">
        <v>66</v>
      </c>
      <c r="D21" s="236">
        <v>15</v>
      </c>
      <c r="E21" s="236">
        <v>10</v>
      </c>
      <c r="F21" s="88">
        <f>Tabla647[[#This Row],[Texto completo]]/Tabla647[[#This Row],[Referencias]]</f>
        <v>0.6666666666666666</v>
      </c>
      <c r="H21" s="95" t="s">
        <v>133</v>
      </c>
      <c r="I21" s="91">
        <f>I5/SQRT(30)</f>
        <v>2.225556884978648</v>
      </c>
      <c r="J21" s="96"/>
      <c r="M21" s="95" t="s">
        <v>139</v>
      </c>
      <c r="N21" s="94">
        <f>SQRT($N$17*(1-$N$17)/SUM(Tabla647[Referencias]))</f>
        <v>0.01694385715705719</v>
      </c>
      <c r="O21" s="96"/>
    </row>
    <row r="22" spans="2:15" ht="15">
      <c r="B22" t="s">
        <v>423</v>
      </c>
      <c r="C22" s="236" t="s">
        <v>64</v>
      </c>
      <c r="D22" s="236">
        <v>34</v>
      </c>
      <c r="E22" s="236">
        <v>17</v>
      </c>
      <c r="F22" s="88">
        <f>Tabla647[[#This Row],[Texto completo]]/Tabla647[[#This Row],[Referencias]]</f>
        <v>0.5</v>
      </c>
      <c r="H22" s="95"/>
      <c r="I22" s="90"/>
      <c r="J22" s="96"/>
      <c r="M22" s="95"/>
      <c r="N22" s="90"/>
      <c r="O22" s="96"/>
    </row>
    <row r="23" spans="2:15" ht="15.75" thickBot="1">
      <c r="B23" s="118" t="s">
        <v>424</v>
      </c>
      <c r="C23" s="236" t="s">
        <v>64</v>
      </c>
      <c r="D23" s="236">
        <v>39</v>
      </c>
      <c r="E23" s="236">
        <v>26</v>
      </c>
      <c r="F23" s="88">
        <f>Tabla647[[#This Row],[Texto completo]]/Tabla647[[#This Row],[Referencias]]</f>
        <v>0.6666666666666666</v>
      </c>
      <c r="H23" s="97" t="s">
        <v>134</v>
      </c>
      <c r="I23" s="98">
        <f>$I$17-$I$19*$I$21</f>
        <v>24.23790850544185</v>
      </c>
      <c r="J23" s="99">
        <f>$I$17+$I$19*$I$21</f>
        <v>32.96209149455815</v>
      </c>
      <c r="K23" s="92"/>
      <c r="M23" s="97" t="s">
        <v>132</v>
      </c>
      <c r="N23" s="98">
        <f>$N$17-$N$19*N21</f>
        <v>0.5273961005782285</v>
      </c>
      <c r="O23" s="99">
        <f>$N$17+$N$19*$N$21</f>
        <v>0.5938160206338926</v>
      </c>
    </row>
    <row r="24" spans="2:6" ht="15.75" thickTop="1">
      <c r="B24" t="s">
        <v>425</v>
      </c>
      <c r="C24" s="236" t="s">
        <v>64</v>
      </c>
      <c r="D24" s="236">
        <v>29</v>
      </c>
      <c r="E24" s="236">
        <v>7</v>
      </c>
      <c r="F24" s="88">
        <f>Tabla647[[#This Row],[Texto completo]]/Tabla647[[#This Row],[Referencias]]</f>
        <v>0.2413793103448276</v>
      </c>
    </row>
    <row r="25" spans="2:6" ht="15">
      <c r="B25" t="s">
        <v>426</v>
      </c>
      <c r="C25" s="236" t="s">
        <v>64</v>
      </c>
      <c r="D25" s="236">
        <v>28</v>
      </c>
      <c r="E25" s="236">
        <v>17</v>
      </c>
      <c r="F25" s="88">
        <f>Tabla647[[#This Row],[Texto completo]]/Tabla647[[#This Row],[Referencias]]</f>
        <v>0.6071428571428571</v>
      </c>
    </row>
    <row r="26" spans="2:6" ht="15">
      <c r="B26" t="s">
        <v>427</v>
      </c>
      <c r="C26" s="236" t="s">
        <v>66</v>
      </c>
      <c r="D26" s="236">
        <v>21</v>
      </c>
      <c r="E26" s="236">
        <v>8</v>
      </c>
      <c r="F26" s="88">
        <f>Tabla647[[#This Row],[Texto completo]]/Tabla647[[#This Row],[Referencias]]</f>
        <v>0.38095238095238093</v>
      </c>
    </row>
    <row r="27" spans="2:6" ht="15">
      <c r="B27" s="118" t="s">
        <v>428</v>
      </c>
      <c r="C27" s="236" t="s">
        <v>64</v>
      </c>
      <c r="D27" s="236">
        <v>15</v>
      </c>
      <c r="E27" s="236">
        <v>2</v>
      </c>
      <c r="F27" s="88">
        <f>Tabla647[[#This Row],[Texto completo]]/Tabla647[[#This Row],[Referencias]]</f>
        <v>0.13333333333333333</v>
      </c>
    </row>
    <row r="28" spans="2:6" ht="15">
      <c r="B28" t="s">
        <v>429</v>
      </c>
      <c r="C28" s="236" t="s">
        <v>64</v>
      </c>
      <c r="D28" s="236">
        <v>30</v>
      </c>
      <c r="E28" s="236">
        <v>5</v>
      </c>
      <c r="F28" s="88">
        <f>Tabla647[[#This Row],[Texto completo]]/Tabla647[[#This Row],[Referencias]]</f>
        <v>0.16666666666666666</v>
      </c>
    </row>
    <row r="29" spans="2:6" ht="15">
      <c r="B29" t="s">
        <v>430</v>
      </c>
      <c r="C29" s="236" t="s">
        <v>64</v>
      </c>
      <c r="D29" s="236">
        <v>32</v>
      </c>
      <c r="E29" s="236">
        <v>26</v>
      </c>
      <c r="F29" s="88">
        <f>Tabla647[[#This Row],[Texto completo]]/Tabla647[[#This Row],[Referencias]]</f>
        <v>0.8125</v>
      </c>
    </row>
    <row r="30" spans="2:6" ht="15">
      <c r="B30" t="s">
        <v>431</v>
      </c>
      <c r="C30" s="236" t="s">
        <v>64</v>
      </c>
      <c r="D30" s="236">
        <v>18</v>
      </c>
      <c r="E30" s="236">
        <v>15</v>
      </c>
      <c r="F30" s="88">
        <f>Tabla647[[#This Row],[Texto completo]]/Tabla647[[#This Row],[Referencias]]</f>
        <v>0.8333333333333334</v>
      </c>
    </row>
    <row r="31" spans="2:6" ht="15">
      <c r="B31" t="s">
        <v>432</v>
      </c>
      <c r="C31" s="236" t="s">
        <v>64</v>
      </c>
      <c r="D31" s="236">
        <v>40</v>
      </c>
      <c r="E31" s="236">
        <v>21</v>
      </c>
      <c r="F31" s="88">
        <f>Tabla647[[#This Row],[Texto completo]]/Tabla647[[#This Row],[Referencias]]</f>
        <v>0.525</v>
      </c>
    </row>
    <row r="32" spans="2:6" ht="15">
      <c r="B32" t="s">
        <v>433</v>
      </c>
      <c r="C32" s="236" t="s">
        <v>64</v>
      </c>
      <c r="D32" s="236">
        <v>18</v>
      </c>
      <c r="E32" s="236">
        <v>8</v>
      </c>
      <c r="F32" s="88">
        <f>Tabla647[[#This Row],[Texto completo]]/Tabla647[[#This Row],[Referencias]]</f>
        <v>0.4444444444444444</v>
      </c>
    </row>
    <row r="33" spans="2:6" ht="15">
      <c r="B33" t="s">
        <v>434</v>
      </c>
      <c r="C33" s="236" t="s">
        <v>64</v>
      </c>
      <c r="D33" s="236">
        <v>31</v>
      </c>
      <c r="E33" s="236">
        <v>24</v>
      </c>
      <c r="F33" s="88">
        <f>Tabla647[[#This Row],[Texto completo]]/Tabla647[[#This Row],[Referencias]]</f>
        <v>0.7741935483870968</v>
      </c>
    </row>
    <row r="34" spans="2:6" ht="15">
      <c r="B34" t="s">
        <v>435</v>
      </c>
      <c r="C34" s="236" t="s">
        <v>64</v>
      </c>
      <c r="D34" s="236">
        <v>8</v>
      </c>
      <c r="E34" s="236">
        <v>7</v>
      </c>
      <c r="F34" s="88">
        <f>Tabla647[[#This Row],[Texto completo]]/Tabla647[[#This Row],[Referencias]]</f>
        <v>0.875</v>
      </c>
    </row>
    <row r="35" spans="2:6" ht="15">
      <c r="B35" s="90"/>
      <c r="C35" s="90"/>
      <c r="D35" s="90">
        <f>SUM([Referencias])</f>
        <v>858</v>
      </c>
      <c r="E35" s="90">
        <f>SUM([Texto completo])</f>
        <v>481</v>
      </c>
      <c r="F35" s="91">
        <f>AVERAGE([Porcentaje])</f>
        <v>0.5453813820894318</v>
      </c>
    </row>
  </sheetData>
  <mergeCells count="2">
    <mergeCell ref="H2:J2"/>
    <mergeCell ref="M2:O2"/>
  </mergeCells>
  <hyperlinks>
    <hyperlink ref="B6" r:id="rId1" display="http://www.scopus.com/record/display.url?origin=recordpage&amp;eid=2-s2.0-84859169001&amp;citeCnt=1&amp;noHighlight=false&amp;sort=r-f&amp;src=s&amp;nlo=1&amp;nlr=50&amp;nls=&amp;sid=69A6DC8ABBB03ED133C0DC8D3336BEE9.WlW7NKKC52nnQNxjqAQrlA%3a130&amp;sot=afnl&amp;sdt=cl&amp;cluster=scopubyr%2c%222012%22%25"/>
    <hyperlink ref="B19" r:id="rId2" display="http://www.scopus.com/record/display.url?origin=recordpage&amp;eid=2-s2.0-84875653988&amp;citeCnt=1&amp;noHighlight=false&amp;sort=r-f&amp;src=s&amp;nlo=1&amp;nlr=50&amp;nls=&amp;sid=69A6DC8ABBB03ED133C0DC8D3336BEE9.WlW7NKKC52nnQNxjqAQrlA%3a130&amp;sot=afnl&amp;sdt=cl&amp;cluster=scopubyr%2c%222012%22%25"/>
    <hyperlink ref="B23" r:id="rId3" display="http://www.scopus.com/record/display.url?origin=recordpage&amp;eid=2-s2.0-84855959260&amp;citeCnt=1&amp;noHighlight=false&amp;sort=r-f&amp;src=s&amp;nlo=1&amp;nlr=50&amp;nls=&amp;sid=69A6DC8ABBB03ED133C0DC8D3336BEE9.WlW7NKKC52nnQNxjqAQrlA%3a130&amp;sot=afnl&amp;sdt=cl&amp;cluster=scopubyr%2c%222012%22%25"/>
    <hyperlink ref="B27" r:id="rId4" display="http://www.scopus.com/record/display.url?origin=recordpage&amp;eid=2-s2.0-84872138084&amp;citeCnt=1&amp;noHighlight=false&amp;sort=r-f&amp;src=s&amp;nlo=1&amp;nlr=50&amp;nls=&amp;sid=69A6DC8ABBB03ED133C0DC8D3336BEE9.WlW7NKKC52nnQNxjqAQrlA%3a130&amp;sot=afnl&amp;sdt=cl&amp;cluster=scopubyr%2c%222012%22%25"/>
  </hyperlinks>
  <printOptions/>
  <pageMargins left="0.7" right="0.7" top="0.75" bottom="0.75" header="0.3" footer="0.3"/>
  <pageSetup horizontalDpi="600" verticalDpi="600" orientation="portrait" paperSize="9"/>
  <tableParts>
    <tablePart r:id="rId5"/>
    <tablePart r:id="rId7"/>
    <tablePart r:id="rId9"/>
    <tablePart r:id="rId6"/>
    <tablePart r:id="rId8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3"/>
  <sheetViews>
    <sheetView tabSelected="1" workbookViewId="0" topLeftCell="A16">
      <selection activeCell="B117" sqref="B117"/>
    </sheetView>
  </sheetViews>
  <sheetFormatPr defaultColWidth="11.421875" defaultRowHeight="15"/>
  <cols>
    <col min="2" max="2" width="27.00390625" style="0" customWidth="1"/>
    <col min="3" max="3" width="14.140625" style="0" customWidth="1"/>
    <col min="4" max="4" width="13.140625" style="0" bestFit="1" customWidth="1"/>
    <col min="5" max="5" width="12.57421875" style="0" customWidth="1"/>
    <col min="8" max="8" width="14.57421875" style="0" customWidth="1"/>
    <col min="9" max="9" width="13.28125" style="0" customWidth="1"/>
    <col min="12" max="12" width="11.421875" style="0" customWidth="1"/>
    <col min="13" max="13" width="12.8515625" style="0" customWidth="1"/>
    <col min="15" max="15" width="24.00390625" style="0" customWidth="1"/>
  </cols>
  <sheetData>
    <row r="2" spans="2:6" ht="23.25">
      <c r="B2" s="2" t="s">
        <v>35</v>
      </c>
      <c r="C2" s="141"/>
      <c r="D2" s="141"/>
      <c r="E2" s="141"/>
      <c r="F2" s="141"/>
    </row>
    <row r="3" spans="2:6" ht="15">
      <c r="B3" s="141"/>
      <c r="C3" s="141"/>
      <c r="D3" s="141"/>
      <c r="E3" s="141"/>
      <c r="F3" s="141"/>
    </row>
    <row r="4" spans="2:14" ht="15">
      <c r="B4" s="13" t="s">
        <v>34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5" t="s">
        <v>11</v>
      </c>
      <c r="N4" s="15" t="s">
        <v>397</v>
      </c>
    </row>
    <row r="5" spans="2:14" ht="15">
      <c r="B5" s="16" t="s">
        <v>2</v>
      </c>
      <c r="C5" s="17">
        <f>Presupuesto!C5</f>
        <v>1282269</v>
      </c>
      <c r="D5" s="17">
        <f>Presupuesto!D5</f>
        <v>1017736</v>
      </c>
      <c r="E5" s="17">
        <f>Presupuesto!E5</f>
        <v>970365</v>
      </c>
      <c r="F5" s="17">
        <f>Presupuesto!F5</f>
        <v>819359</v>
      </c>
      <c r="G5" s="17">
        <f>Presupuesto!G5</f>
        <v>1270407</v>
      </c>
      <c r="H5" s="17">
        <f>Presupuesto!H5</f>
        <v>739647</v>
      </c>
      <c r="I5" s="17">
        <f>Presupuesto!I5</f>
        <v>749232.8300000001</v>
      </c>
      <c r="J5" s="17">
        <f>Presupuesto!J5</f>
        <v>664518</v>
      </c>
      <c r="K5" s="17">
        <f>Presupuesto!K5</f>
        <v>542755</v>
      </c>
      <c r="L5" s="17">
        <f>Presupuesto!L5</f>
        <v>431726.5499999998</v>
      </c>
      <c r="M5" s="17">
        <f>Presupuesto!M5</f>
        <v>355799</v>
      </c>
      <c r="N5" s="17">
        <f>Presupuesto!N5</f>
        <v>301529</v>
      </c>
    </row>
    <row r="6" spans="2:14" ht="15.75" thickBot="1">
      <c r="B6" s="21" t="s">
        <v>50</v>
      </c>
      <c r="C6" s="17">
        <f>Presupuesto!C6</f>
        <v>395518</v>
      </c>
      <c r="D6" s="17">
        <f>Presupuesto!D6</f>
        <v>314338</v>
      </c>
      <c r="E6" s="17">
        <f>Presupuesto!E6</f>
        <v>463873</v>
      </c>
      <c r="F6" s="17">
        <f>Presupuesto!F6</f>
        <v>607941</v>
      </c>
      <c r="G6" s="17">
        <f>Presupuesto!G6</f>
        <v>486276</v>
      </c>
      <c r="H6" s="17">
        <f>Presupuesto!H6</f>
        <v>833301</v>
      </c>
      <c r="I6" s="17">
        <f>Presupuesto!I6</f>
        <v>1137495</v>
      </c>
      <c r="J6" s="17">
        <f>Presupuesto!J6</f>
        <v>1250293</v>
      </c>
      <c r="K6" s="17">
        <f>Presupuesto!K6</f>
        <v>1360275</v>
      </c>
      <c r="L6" s="17">
        <f>Presupuesto!L6</f>
        <v>1326306.85</v>
      </c>
      <c r="M6" s="17">
        <f>Presupuesto!M6</f>
        <v>1306275</v>
      </c>
      <c r="N6" s="17">
        <f>Presupuesto!N6</f>
        <v>1370054</v>
      </c>
    </row>
    <row r="7" spans="2:14" ht="15.75" thickTop="1">
      <c r="B7" s="5" t="s">
        <v>12</v>
      </c>
      <c r="C7" s="6">
        <f aca="true" t="shared" si="0" ref="C7:M7">SUM(C5,C6)</f>
        <v>1677787</v>
      </c>
      <c r="D7" s="6">
        <f t="shared" si="0"/>
        <v>1332074</v>
      </c>
      <c r="E7" s="6">
        <f t="shared" si="0"/>
        <v>1434238</v>
      </c>
      <c r="F7" s="6">
        <f t="shared" si="0"/>
        <v>1427300</v>
      </c>
      <c r="G7" s="6">
        <f t="shared" si="0"/>
        <v>1756683</v>
      </c>
      <c r="H7" s="6">
        <f t="shared" si="0"/>
        <v>1572948</v>
      </c>
      <c r="I7" s="6">
        <f t="shared" si="0"/>
        <v>1886727.83</v>
      </c>
      <c r="J7" s="6">
        <f t="shared" si="0"/>
        <v>1914811</v>
      </c>
      <c r="K7" s="6">
        <f t="shared" si="0"/>
        <v>1903030</v>
      </c>
      <c r="L7" s="6">
        <f t="shared" si="0"/>
        <v>1758033.4</v>
      </c>
      <c r="M7" s="6">
        <f t="shared" si="0"/>
        <v>1662074</v>
      </c>
      <c r="N7" s="6">
        <f aca="true" t="shared" si="1" ref="N7">SUM(N5,N6)</f>
        <v>1671583</v>
      </c>
    </row>
    <row r="8" spans="2:14" s="247" customFormat="1" ht="15">
      <c r="B8" s="16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3" ht="15">
      <c r="B9" s="13" t="s">
        <v>34</v>
      </c>
      <c r="C9" s="14">
        <v>2001</v>
      </c>
      <c r="D9" s="14">
        <v>2003</v>
      </c>
      <c r="E9" s="14">
        <v>2004</v>
      </c>
      <c r="F9" s="14">
        <v>2005</v>
      </c>
      <c r="G9" s="14">
        <v>2006</v>
      </c>
      <c r="H9" s="14">
        <v>2007</v>
      </c>
      <c r="I9" s="14" t="s">
        <v>8</v>
      </c>
      <c r="J9" s="14" t="s">
        <v>9</v>
      </c>
      <c r="K9" s="14" t="s">
        <v>10</v>
      </c>
      <c r="L9" s="15" t="s">
        <v>11</v>
      </c>
      <c r="M9" s="15" t="s">
        <v>397</v>
      </c>
    </row>
    <row r="10" spans="2:13" s="247" customFormat="1" ht="15">
      <c r="B10" s="247" t="s">
        <v>440</v>
      </c>
      <c r="C10" s="3">
        <f>C6</f>
        <v>395518</v>
      </c>
      <c r="D10" s="4">
        <f>E6</f>
        <v>463873</v>
      </c>
      <c r="E10" s="4">
        <f aca="true" t="shared" si="2" ref="E10:M10">F6</f>
        <v>607941</v>
      </c>
      <c r="F10" s="4">
        <f t="shared" si="2"/>
        <v>486276</v>
      </c>
      <c r="G10" s="4">
        <f t="shared" si="2"/>
        <v>833301</v>
      </c>
      <c r="H10" s="4">
        <f t="shared" si="2"/>
        <v>1137495</v>
      </c>
      <c r="I10" s="4">
        <f t="shared" si="2"/>
        <v>1250293</v>
      </c>
      <c r="J10" s="4">
        <f t="shared" si="2"/>
        <v>1360275</v>
      </c>
      <c r="K10" s="4">
        <f t="shared" si="2"/>
        <v>1326306.85</v>
      </c>
      <c r="L10" s="4">
        <f t="shared" si="2"/>
        <v>1306275</v>
      </c>
      <c r="M10" s="4">
        <f t="shared" si="2"/>
        <v>1370054</v>
      </c>
    </row>
    <row r="12" spans="2:6" s="142" customFormat="1" ht="23.25">
      <c r="B12" s="2" t="s">
        <v>55</v>
      </c>
      <c r="C12" s="141"/>
      <c r="D12" s="141"/>
      <c r="E12" s="141"/>
      <c r="F12" s="141"/>
    </row>
    <row r="13" spans="2:6" ht="15">
      <c r="B13" s="141"/>
      <c r="C13" s="141"/>
      <c r="D13" s="141"/>
      <c r="E13" s="141"/>
      <c r="F13" s="141"/>
    </row>
    <row r="14" spans="2:14" ht="15">
      <c r="B14" s="77" t="s">
        <v>51</v>
      </c>
      <c r="C14" s="1" t="s">
        <v>362</v>
      </c>
      <c r="D14" s="1" t="s">
        <v>363</v>
      </c>
      <c r="E14" s="1" t="s">
        <v>364</v>
      </c>
      <c r="F14" s="1" t="s">
        <v>356</v>
      </c>
      <c r="G14" s="1" t="s">
        <v>357</v>
      </c>
      <c r="H14" s="1" t="s">
        <v>358</v>
      </c>
      <c r="I14" s="1" t="s">
        <v>359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397</v>
      </c>
    </row>
    <row r="15" spans="2:14" s="153" customFormat="1" ht="15">
      <c r="B15" s="77" t="s">
        <v>0</v>
      </c>
      <c r="C15" s="3">
        <f>Informe!D36</f>
        <v>487</v>
      </c>
      <c r="D15" s="3">
        <f>Informe!E36</f>
        <v>592</v>
      </c>
      <c r="E15" s="3">
        <f>Informe!F36</f>
        <v>751</v>
      </c>
      <c r="F15" s="3">
        <f>Informe!G36</f>
        <v>989</v>
      </c>
      <c r="G15" s="3">
        <f>Informe!H36</f>
        <v>1170</v>
      </c>
      <c r="H15" s="3">
        <f>Informe!I36</f>
        <v>1310</v>
      </c>
      <c r="I15" s="3">
        <f>Informe!J36</f>
        <v>1602</v>
      </c>
      <c r="J15" s="3">
        <f>Informe!K36</f>
        <v>1671</v>
      </c>
      <c r="K15" s="3">
        <f>Informe!L36</f>
        <v>1948</v>
      </c>
      <c r="L15" s="3">
        <f>Informe!M36</f>
        <v>2013</v>
      </c>
      <c r="M15" s="3">
        <f>Informe!N36</f>
        <v>2315</v>
      </c>
      <c r="N15" s="3">
        <f>Informe!O36</f>
        <v>2314</v>
      </c>
    </row>
    <row r="16" spans="2:14" s="153" customFormat="1" ht="15">
      <c r="B16" s="77" t="s">
        <v>13</v>
      </c>
      <c r="C16" s="3">
        <f>Informe!D37</f>
        <v>0</v>
      </c>
      <c r="D16" s="3">
        <f>Informe!E37</f>
        <v>0</v>
      </c>
      <c r="E16" s="3">
        <f>Informe!F37</f>
        <v>0</v>
      </c>
      <c r="F16" s="3">
        <f>Informe!G37</f>
        <v>0</v>
      </c>
      <c r="G16" s="3">
        <f>Informe!H37</f>
        <v>0</v>
      </c>
      <c r="H16" s="3">
        <f>Informe!I37</f>
        <v>0</v>
      </c>
      <c r="I16" s="3">
        <f>Informe!J37</f>
        <v>0</v>
      </c>
      <c r="J16" s="3">
        <f>Informe!K37</f>
        <v>0</v>
      </c>
      <c r="K16" s="3">
        <f>Informe!L37</f>
        <v>0</v>
      </c>
      <c r="L16" s="3">
        <f>Informe!M37</f>
        <v>0</v>
      </c>
      <c r="M16" s="3">
        <f>Informe!N37</f>
        <v>0</v>
      </c>
      <c r="N16" s="3">
        <f>Informe!O37</f>
        <v>0</v>
      </c>
    </row>
    <row r="17" spans="2:14" s="153" customFormat="1" ht="15">
      <c r="B17" s="77" t="s">
        <v>33</v>
      </c>
      <c r="C17" s="3">
        <f>Informe!D38</f>
        <v>74</v>
      </c>
      <c r="D17" s="3">
        <f>Informe!E38</f>
        <v>98</v>
      </c>
      <c r="E17" s="3">
        <f>Informe!F38</f>
        <v>127</v>
      </c>
      <c r="F17" s="3">
        <f>Informe!G38</f>
        <v>93</v>
      </c>
      <c r="G17" s="3">
        <f>Informe!H38</f>
        <v>132</v>
      </c>
      <c r="H17" s="3">
        <f>Informe!I38</f>
        <v>115</v>
      </c>
      <c r="I17" s="3">
        <f>Informe!J38</f>
        <v>142</v>
      </c>
      <c r="J17" s="3">
        <f>Informe!K38</f>
        <v>164</v>
      </c>
      <c r="K17" s="3">
        <f>Informe!L38</f>
        <v>155</v>
      </c>
      <c r="L17" s="3">
        <f>Informe!M38</f>
        <v>202</v>
      </c>
      <c r="M17" s="3">
        <f>Informe!N38</f>
        <v>235</v>
      </c>
      <c r="N17" s="3">
        <f>Informe!O38</f>
        <v>241</v>
      </c>
    </row>
    <row r="18" spans="2:14" s="153" customFormat="1" ht="15">
      <c r="B18" s="77" t="s">
        <v>36</v>
      </c>
      <c r="C18" s="3">
        <f>Informe!D39</f>
        <v>149</v>
      </c>
      <c r="D18" s="3">
        <f>Informe!E39</f>
        <v>179</v>
      </c>
      <c r="E18" s="3">
        <f>Informe!F39</f>
        <v>203</v>
      </c>
      <c r="F18" s="3">
        <f>Informe!G39</f>
        <v>235</v>
      </c>
      <c r="G18" s="3">
        <f>Informe!H39</f>
        <v>225</v>
      </c>
      <c r="H18" s="3">
        <f>Informe!I39</f>
        <v>245</v>
      </c>
      <c r="I18" s="3">
        <f>Informe!J39</f>
        <v>254</v>
      </c>
      <c r="J18" s="3">
        <f>Informe!K39</f>
        <v>285</v>
      </c>
      <c r="K18" s="3">
        <f>Informe!L39</f>
        <v>380</v>
      </c>
      <c r="L18" s="3">
        <f>Informe!M39</f>
        <v>461</v>
      </c>
      <c r="M18" s="3">
        <f>Informe!N39</f>
        <v>511</v>
      </c>
      <c r="N18" s="3">
        <f>Informe!O39</f>
        <v>542</v>
      </c>
    </row>
    <row r="19" spans="2:14" s="153" customFormat="1" ht="15">
      <c r="B19" s="77" t="s">
        <v>47</v>
      </c>
      <c r="C19" s="3">
        <f>Informe!D40</f>
        <v>550</v>
      </c>
      <c r="D19" s="3">
        <f>Informe!E40</f>
        <v>610</v>
      </c>
      <c r="E19" s="3">
        <f>Informe!F40</f>
        <v>752</v>
      </c>
      <c r="F19" s="3">
        <f>Informe!G40</f>
        <v>891</v>
      </c>
      <c r="G19" s="3">
        <f>Informe!H40</f>
        <v>1018</v>
      </c>
      <c r="H19" s="3">
        <f>Informe!I40</f>
        <v>1079</v>
      </c>
      <c r="I19" s="3">
        <f>Informe!J40</f>
        <v>1299</v>
      </c>
      <c r="J19" s="3">
        <f>Informe!K40</f>
        <v>1373</v>
      </c>
      <c r="K19" s="3">
        <f>Informe!L40</f>
        <v>1589</v>
      </c>
      <c r="L19" s="3">
        <f>Informe!M40</f>
        <v>1481</v>
      </c>
      <c r="M19" s="3">
        <f>Informe!N40</f>
        <v>1760</v>
      </c>
      <c r="N19" s="3">
        <f>Informe!O40</f>
        <v>1680</v>
      </c>
    </row>
    <row r="20" spans="2:14" s="153" customFormat="1" ht="15">
      <c r="B20" s="152" t="s">
        <v>42</v>
      </c>
      <c r="C20" s="3">
        <f>Informe!D41</f>
        <v>9</v>
      </c>
      <c r="D20" s="3">
        <f>Informe!E41</f>
        <v>13</v>
      </c>
      <c r="E20" s="3">
        <f>Informe!F41</f>
        <v>13</v>
      </c>
      <c r="F20" s="3">
        <f>Informe!G41</f>
        <v>12</v>
      </c>
      <c r="G20" s="3">
        <f>Informe!H41</f>
        <v>11</v>
      </c>
      <c r="H20" s="3">
        <f>Informe!I41</f>
        <v>21</v>
      </c>
      <c r="I20" s="3">
        <f>Informe!J41</f>
        <v>26</v>
      </c>
      <c r="J20" s="3">
        <f>Informe!K41</f>
        <v>18</v>
      </c>
      <c r="K20" s="3">
        <f>Informe!L41</f>
        <v>32</v>
      </c>
      <c r="L20" s="3">
        <f>Informe!M41</f>
        <v>55</v>
      </c>
      <c r="M20" s="3">
        <f>Informe!N41</f>
        <v>72</v>
      </c>
      <c r="N20" s="3">
        <f>Informe!O41</f>
        <v>68</v>
      </c>
    </row>
    <row r="21" spans="2:14" s="153" customFormat="1" ht="15">
      <c r="B21" s="152" t="s">
        <v>354</v>
      </c>
      <c r="C21" s="3">
        <f>Tabla32[2001]</f>
        <v>97</v>
      </c>
      <c r="D21" s="3">
        <f>Tabla32[2002]</f>
        <v>101</v>
      </c>
      <c r="E21" s="3">
        <f>Tabla32[2003]</f>
        <v>125</v>
      </c>
      <c r="F21" s="3">
        <f>Tabla32[2004]</f>
        <v>170</v>
      </c>
      <c r="G21" s="3">
        <f>Tabla32[2005]</f>
        <v>110</v>
      </c>
      <c r="H21" s="3">
        <f>Tabla32[2006]</f>
        <v>90</v>
      </c>
      <c r="I21" s="3">
        <f>Tabla32[2007]</f>
        <v>115</v>
      </c>
      <c r="J21" s="3">
        <f>Tabla32[2008]</f>
        <v>107</v>
      </c>
      <c r="K21" s="3">
        <f>BBDD!K64</f>
        <v>107</v>
      </c>
      <c r="L21" s="3">
        <f>BBDD!L64</f>
        <v>110</v>
      </c>
      <c r="M21" s="3">
        <f>BBDD!M64</f>
        <v>115</v>
      </c>
      <c r="N21" s="3">
        <f>BBDD!O64</f>
        <v>1367</v>
      </c>
    </row>
    <row r="22" spans="2:14" s="153" customFormat="1" ht="15">
      <c r="B22" s="233" t="s">
        <v>12</v>
      </c>
      <c r="C22" s="170">
        <f>SUM([2001])</f>
        <v>1366</v>
      </c>
      <c r="D22" s="170">
        <f>SUM([2002])</f>
        <v>1593</v>
      </c>
      <c r="E22" s="170">
        <f>SUM([2003])</f>
        <v>1971</v>
      </c>
      <c r="F22" s="170">
        <f>SUM([2004])</f>
        <v>2390</v>
      </c>
      <c r="G22" s="170">
        <f>SUM([2005])</f>
        <v>2666</v>
      </c>
      <c r="H22" s="170">
        <f>SUM([2006])</f>
        <v>2860</v>
      </c>
      <c r="I22" s="170">
        <f>SUM([2007])</f>
        <v>3438</v>
      </c>
      <c r="J22" s="170">
        <f>SUM([2008])</f>
        <v>3618</v>
      </c>
      <c r="K22" s="170">
        <f>SUM([2009])</f>
        <v>4211</v>
      </c>
      <c r="L22" s="170">
        <f>SUM([2010])</f>
        <v>4322</v>
      </c>
      <c r="M22">
        <f>SUM([2011])</f>
        <v>5008</v>
      </c>
      <c r="N22" s="218">
        <f>SUM([2012])</f>
        <v>6212</v>
      </c>
    </row>
    <row r="23" s="170" customFormat="1" ht="15">
      <c r="B23" s="167"/>
    </row>
    <row r="24" spans="2:13" s="170" customFormat="1" ht="15">
      <c r="B24" s="177" t="s">
        <v>51</v>
      </c>
      <c r="C24" s="1" t="s">
        <v>362</v>
      </c>
      <c r="D24" s="1" t="s">
        <v>364</v>
      </c>
      <c r="E24" s="1" t="s">
        <v>356</v>
      </c>
      <c r="F24" s="1" t="s">
        <v>357</v>
      </c>
      <c r="G24" s="1" t="s">
        <v>358</v>
      </c>
      <c r="H24" s="1" t="s">
        <v>359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397</v>
      </c>
    </row>
    <row r="25" spans="2:13" s="170" customFormat="1" ht="15">
      <c r="B25" s="167" t="s">
        <v>0</v>
      </c>
      <c r="C25" s="3">
        <f>C15</f>
        <v>487</v>
      </c>
      <c r="D25" s="3">
        <f>E15</f>
        <v>751</v>
      </c>
      <c r="E25" s="3">
        <f aca="true" t="shared" si="3" ref="E25:M25">F15</f>
        <v>989</v>
      </c>
      <c r="F25" s="3">
        <f t="shared" si="3"/>
        <v>1170</v>
      </c>
      <c r="G25" s="3">
        <f t="shared" si="3"/>
        <v>1310</v>
      </c>
      <c r="H25" s="3">
        <f t="shared" si="3"/>
        <v>1602</v>
      </c>
      <c r="I25" s="3">
        <f t="shared" si="3"/>
        <v>1671</v>
      </c>
      <c r="J25" s="3">
        <f t="shared" si="3"/>
        <v>1948</v>
      </c>
      <c r="K25" s="3">
        <f t="shared" si="3"/>
        <v>2013</v>
      </c>
      <c r="L25" s="3">
        <f t="shared" si="3"/>
        <v>2315</v>
      </c>
      <c r="M25" s="3">
        <f t="shared" si="3"/>
        <v>2314</v>
      </c>
    </row>
    <row r="27" spans="2:6" ht="23.25">
      <c r="B27" s="2" t="s">
        <v>56</v>
      </c>
      <c r="C27" s="141"/>
      <c r="D27" s="141"/>
      <c r="E27" s="141"/>
      <c r="F27" s="141"/>
    </row>
    <row r="28" spans="2:6" ht="15">
      <c r="B28" s="141"/>
      <c r="C28" s="141"/>
      <c r="D28" s="141"/>
      <c r="E28" s="141"/>
      <c r="F28" s="141"/>
    </row>
    <row r="29" spans="2:14" ht="15">
      <c r="B29" s="79" t="s">
        <v>57</v>
      </c>
      <c r="C29" s="80">
        <v>2001</v>
      </c>
      <c r="D29" s="80">
        <v>2002</v>
      </c>
      <c r="E29" s="80">
        <v>2003</v>
      </c>
      <c r="F29" s="80">
        <v>2004</v>
      </c>
      <c r="G29" s="80">
        <v>2005</v>
      </c>
      <c r="H29" s="80">
        <v>2006</v>
      </c>
      <c r="I29" s="80">
        <v>2007</v>
      </c>
      <c r="J29" s="80" t="s">
        <v>8</v>
      </c>
      <c r="K29" s="80" t="s">
        <v>9</v>
      </c>
      <c r="L29" s="81" t="s">
        <v>10</v>
      </c>
      <c r="M29" s="81" t="s">
        <v>11</v>
      </c>
      <c r="N29" s="81" t="s">
        <v>397</v>
      </c>
    </row>
    <row r="30" spans="2:14" ht="15">
      <c r="B30" s="58" t="s">
        <v>58</v>
      </c>
      <c r="C30" s="82">
        <f>Informe!D63</f>
        <v>2210</v>
      </c>
      <c r="D30" s="82">
        <f>Informe!E63</f>
        <v>2329</v>
      </c>
      <c r="E30" s="82">
        <f>Informe!F63</f>
        <v>1701</v>
      </c>
      <c r="F30" s="82">
        <f>Informe!G63</f>
        <v>1679</v>
      </c>
      <c r="G30" s="82">
        <f>Informe!H63</f>
        <v>1916</v>
      </c>
      <c r="H30" s="82">
        <f>Informe!I63</f>
        <v>2090</v>
      </c>
      <c r="I30" s="82">
        <f>Informe!J63</f>
        <v>2122</v>
      </c>
      <c r="J30" s="82">
        <f>Informe!K63</f>
        <v>2106</v>
      </c>
      <c r="K30" s="82">
        <f>Informe!L63</f>
        <v>2117</v>
      </c>
      <c r="L30" s="82">
        <f>Informe!M63</f>
        <v>2090</v>
      </c>
      <c r="M30" s="82">
        <f>Informe!N63</f>
        <v>2058</v>
      </c>
      <c r="N30" s="82">
        <f>Informe!O63</f>
        <v>2032</v>
      </c>
    </row>
    <row r="31" spans="2:14" ht="15.75" thickBot="1">
      <c r="B31" s="84" t="s">
        <v>59</v>
      </c>
      <c r="C31" s="189" t="s">
        <v>365</v>
      </c>
      <c r="D31" s="189" t="s">
        <v>365</v>
      </c>
      <c r="E31" s="82">
        <f>Informe!F64</f>
        <v>700</v>
      </c>
      <c r="F31" s="82">
        <f>Informe!G64</f>
        <v>818</v>
      </c>
      <c r="G31" s="82">
        <f>Informe!H64</f>
        <v>684</v>
      </c>
      <c r="H31" s="82">
        <f>Informe!I64</f>
        <v>555</v>
      </c>
      <c r="I31" s="82">
        <f>Informe!J64</f>
        <v>637</v>
      </c>
      <c r="J31" s="82">
        <f>Informe!K64</f>
        <v>672</v>
      </c>
      <c r="K31" s="82">
        <f>Informe!L64</f>
        <v>738</v>
      </c>
      <c r="L31" s="82">
        <f>Informe!M64</f>
        <v>696</v>
      </c>
      <c r="M31" s="82">
        <f>Informe!N64</f>
        <v>712</v>
      </c>
      <c r="N31" s="82">
        <f>Informe!O64</f>
        <v>687</v>
      </c>
    </row>
    <row r="32" spans="2:14" ht="15.75" thickTop="1">
      <c r="B32" s="86" t="s">
        <v>12</v>
      </c>
      <c r="C32" s="87">
        <f aca="true" t="shared" si="4" ref="C32:E32">SUM(C30:C31)</f>
        <v>2210</v>
      </c>
      <c r="D32" s="87">
        <f t="shared" si="4"/>
        <v>2329</v>
      </c>
      <c r="E32" s="87">
        <f t="shared" si="4"/>
        <v>2401</v>
      </c>
      <c r="F32" s="87">
        <f>SUM(F30:F31)</f>
        <v>2497</v>
      </c>
      <c r="G32" s="87">
        <f aca="true" t="shared" si="5" ref="G32:M32">SUM(G30:G31)</f>
        <v>2600</v>
      </c>
      <c r="H32" s="87">
        <f t="shared" si="5"/>
        <v>2645</v>
      </c>
      <c r="I32" s="87">
        <f t="shared" si="5"/>
        <v>2759</v>
      </c>
      <c r="J32" s="87">
        <f t="shared" si="5"/>
        <v>2778</v>
      </c>
      <c r="K32" s="87">
        <f t="shared" si="5"/>
        <v>2855</v>
      </c>
      <c r="L32" s="87">
        <f t="shared" si="5"/>
        <v>2786</v>
      </c>
      <c r="M32" s="87">
        <f t="shared" si="5"/>
        <v>2770</v>
      </c>
      <c r="N32" s="87">
        <f aca="true" t="shared" si="6" ref="N32">SUM(N30:N31)</f>
        <v>2719</v>
      </c>
    </row>
    <row r="34" s="216" customFormat="1" ht="23.25">
      <c r="B34" s="2" t="s">
        <v>392</v>
      </c>
    </row>
    <row r="35" s="216" customFormat="1" ht="15"/>
    <row r="36" spans="2:14" s="216" customFormat="1" ht="15">
      <c r="B36" s="79" t="s">
        <v>391</v>
      </c>
      <c r="C36" s="187">
        <v>2001</v>
      </c>
      <c r="D36" s="187">
        <v>2002</v>
      </c>
      <c r="E36" s="187">
        <v>2003</v>
      </c>
      <c r="F36" s="80">
        <v>2004</v>
      </c>
      <c r="G36" s="80">
        <v>2005</v>
      </c>
      <c r="H36" s="80">
        <v>2006</v>
      </c>
      <c r="I36" s="80">
        <v>2007</v>
      </c>
      <c r="J36" s="80" t="s">
        <v>8</v>
      </c>
      <c r="K36" s="80" t="s">
        <v>9</v>
      </c>
      <c r="L36" s="81" t="s">
        <v>10</v>
      </c>
      <c r="M36" s="81" t="s">
        <v>11</v>
      </c>
      <c r="N36" s="81" t="s">
        <v>397</v>
      </c>
    </row>
    <row r="37" spans="2:14" s="216" customFormat="1" ht="15">
      <c r="B37" s="201" t="s">
        <v>436</v>
      </c>
      <c r="C37" s="219">
        <f>C15/C32</f>
        <v>0.22036199095022624</v>
      </c>
      <c r="D37" s="219">
        <f aca="true" t="shared" si="7" ref="D37:M37">D15/D32</f>
        <v>0.2541863460712752</v>
      </c>
      <c r="E37" s="219">
        <f t="shared" si="7"/>
        <v>0.3127863390254061</v>
      </c>
      <c r="F37" s="219">
        <f t="shared" si="7"/>
        <v>0.3960752903484181</v>
      </c>
      <c r="G37" s="219">
        <f t="shared" si="7"/>
        <v>0.45</v>
      </c>
      <c r="H37" s="219">
        <f t="shared" si="7"/>
        <v>0.4952741020793951</v>
      </c>
      <c r="I37" s="219">
        <f t="shared" si="7"/>
        <v>0.5806451612903226</v>
      </c>
      <c r="J37" s="219">
        <f t="shared" si="7"/>
        <v>0.6015118790496761</v>
      </c>
      <c r="K37" s="219">
        <f t="shared" si="7"/>
        <v>0.6823117338003503</v>
      </c>
      <c r="L37" s="219">
        <f t="shared" si="7"/>
        <v>0.7225412778176598</v>
      </c>
      <c r="M37" s="219">
        <f t="shared" si="7"/>
        <v>0.8357400722021661</v>
      </c>
      <c r="N37" s="219">
        <f aca="true" t="shared" si="8" ref="N37">N15/N32</f>
        <v>0.8510481794777491</v>
      </c>
    </row>
    <row r="38" spans="2:14" s="216" customFormat="1" ht="15">
      <c r="B38" s="220" t="s">
        <v>393</v>
      </c>
      <c r="C38" s="249">
        <f>C6/C53</f>
        <v>116.43155725640271</v>
      </c>
      <c r="D38" s="188" t="s">
        <v>365</v>
      </c>
      <c r="E38" s="221">
        <f>E6/E53</f>
        <v>3.6464563091532245</v>
      </c>
      <c r="F38" s="221">
        <f aca="true" t="shared" si="9" ref="F38:M38">F6/F53</f>
        <v>3.227891048104492</v>
      </c>
      <c r="G38" s="221">
        <f t="shared" si="9"/>
        <v>2.0719310430043842</v>
      </c>
      <c r="H38" s="221">
        <f t="shared" si="9"/>
        <v>1.2214442135010979</v>
      </c>
      <c r="I38" s="221">
        <f t="shared" si="9"/>
        <v>2.792330691960998</v>
      </c>
      <c r="J38" s="221">
        <f t="shared" si="9"/>
        <v>2.4405485067343355</v>
      </c>
      <c r="K38" s="221">
        <f t="shared" si="9"/>
        <v>1.9517960785439101</v>
      </c>
      <c r="L38" s="221">
        <f t="shared" si="9"/>
        <v>1.8177302131158777</v>
      </c>
      <c r="M38" s="221">
        <f t="shared" si="9"/>
        <v>1.4767761956712209</v>
      </c>
      <c r="N38" s="221">
        <f aca="true" t="shared" si="10" ref="N38">N6/N53</f>
        <v>1.7436657791715242</v>
      </c>
    </row>
    <row r="39" spans="2:14" s="236" customFormat="1" ht="15">
      <c r="B39" s="90"/>
      <c r="C39" s="188"/>
      <c r="D39" s="188"/>
      <c r="E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2:14" s="236" customFormat="1" ht="15">
      <c r="B40" s="152" t="s">
        <v>391</v>
      </c>
      <c r="C40" s="243" t="s">
        <v>362</v>
      </c>
      <c r="D40" s="243" t="s">
        <v>364</v>
      </c>
      <c r="E40" s="243" t="s">
        <v>356</v>
      </c>
      <c r="F40" s="243" t="s">
        <v>357</v>
      </c>
      <c r="G40" s="243" t="s">
        <v>358</v>
      </c>
      <c r="H40" s="243" t="s">
        <v>359</v>
      </c>
      <c r="I40" s="243" t="s">
        <v>8</v>
      </c>
      <c r="J40" s="243" t="s">
        <v>9</v>
      </c>
      <c r="K40" s="243" t="s">
        <v>10</v>
      </c>
      <c r="L40" s="243" t="s">
        <v>11</v>
      </c>
      <c r="M40" s="243" t="s">
        <v>397</v>
      </c>
      <c r="N40" s="221"/>
    </row>
    <row r="41" spans="2:13" s="216" customFormat="1" ht="15">
      <c r="B41" s="201" t="s">
        <v>436</v>
      </c>
      <c r="C41" s="244">
        <v>0.22</v>
      </c>
      <c r="D41" s="219">
        <f>E15/E32</f>
        <v>0.3127863390254061</v>
      </c>
      <c r="E41" s="219">
        <f aca="true" t="shared" si="11" ref="E41:M41">F15/F32</f>
        <v>0.3960752903484181</v>
      </c>
      <c r="F41" s="219">
        <f t="shared" si="11"/>
        <v>0.45</v>
      </c>
      <c r="G41" s="219">
        <f t="shared" si="11"/>
        <v>0.4952741020793951</v>
      </c>
      <c r="H41" s="219">
        <f t="shared" si="11"/>
        <v>0.5806451612903226</v>
      </c>
      <c r="I41" s="219">
        <f t="shared" si="11"/>
        <v>0.6015118790496761</v>
      </c>
      <c r="J41" s="219">
        <f t="shared" si="11"/>
        <v>0.6823117338003503</v>
      </c>
      <c r="K41" s="219">
        <f t="shared" si="11"/>
        <v>0.7225412778176598</v>
      </c>
      <c r="L41" s="219">
        <f t="shared" si="11"/>
        <v>0.8357400722021661</v>
      </c>
      <c r="M41" s="219">
        <f t="shared" si="11"/>
        <v>0.8510481794777491</v>
      </c>
    </row>
    <row r="42" s="216" customFormat="1" ht="15"/>
    <row r="44" s="153" customFormat="1" ht="23.25">
      <c r="B44" s="2" t="s">
        <v>316</v>
      </c>
    </row>
    <row r="45" s="153" customFormat="1" ht="15"/>
    <row r="46" spans="2:14" s="153" customFormat="1" ht="15">
      <c r="B46" s="182" t="s">
        <v>309</v>
      </c>
      <c r="C46" s="175" t="s">
        <v>362</v>
      </c>
      <c r="D46" s="175" t="s">
        <v>363</v>
      </c>
      <c r="E46" s="175" t="s">
        <v>364</v>
      </c>
      <c r="F46" s="175" t="s">
        <v>356</v>
      </c>
      <c r="G46" s="175" t="s">
        <v>357</v>
      </c>
      <c r="H46" s="175" t="s">
        <v>358</v>
      </c>
      <c r="I46" s="175" t="s">
        <v>359</v>
      </c>
      <c r="J46" s="175" t="s">
        <v>8</v>
      </c>
      <c r="K46" s="175" t="s">
        <v>9</v>
      </c>
      <c r="L46" s="175" t="s">
        <v>10</v>
      </c>
      <c r="M46" s="175" t="s">
        <v>11</v>
      </c>
      <c r="N46" s="175" t="s">
        <v>397</v>
      </c>
    </row>
    <row r="47" spans="2:14" s="153" customFormat="1" ht="15">
      <c r="B47" s="153" t="s">
        <v>310</v>
      </c>
      <c r="C47" s="114">
        <f>Informe!D83</f>
        <v>305920</v>
      </c>
      <c r="D47" s="114">
        <f>Informe!E83</f>
        <v>334000</v>
      </c>
      <c r="E47" s="114">
        <f>Informe!F83</f>
        <v>366269</v>
      </c>
      <c r="F47" s="114">
        <f>Informe!G83</f>
        <v>397485</v>
      </c>
      <c r="G47" s="114">
        <f>Informe!H83</f>
        <v>403330</v>
      </c>
      <c r="H47" s="114">
        <f>Informe!I83</f>
        <v>436940</v>
      </c>
      <c r="I47" s="114">
        <f>Informe!J83</f>
        <v>463595</v>
      </c>
      <c r="J47" s="114">
        <f>Informe!K83</f>
        <v>494082</v>
      </c>
      <c r="K47" s="114">
        <f>Informe!L83</f>
        <v>524743</v>
      </c>
      <c r="L47" s="114">
        <f>Informe!M83</f>
        <v>555981</v>
      </c>
      <c r="M47" s="114">
        <f>Informe!N83</f>
        <v>564507</v>
      </c>
      <c r="N47" s="114">
        <f>Informe!O83</f>
        <v>558311</v>
      </c>
    </row>
    <row r="48" spans="2:14" s="153" customFormat="1" ht="15">
      <c r="B48" s="153" t="s">
        <v>311</v>
      </c>
      <c r="C48" s="114">
        <f>Informe!D84</f>
        <v>1140</v>
      </c>
      <c r="D48" s="114">
        <f>Informe!E84</f>
        <v>2439</v>
      </c>
      <c r="E48" s="114">
        <f>Informe!F84</f>
        <v>1940</v>
      </c>
      <c r="F48" s="114">
        <f>Informe!G84</f>
        <v>2794</v>
      </c>
      <c r="G48" s="114">
        <f>Informe!H84</f>
        <v>2634</v>
      </c>
      <c r="H48" s="114">
        <f>Informe!I84</f>
        <v>3258</v>
      </c>
      <c r="I48" s="114">
        <f>Informe!J84</f>
        <v>624</v>
      </c>
      <c r="J48" s="114">
        <f>Informe!K84</f>
        <v>2819</v>
      </c>
      <c r="K48" s="114">
        <f>Informe!L84</f>
        <v>2870</v>
      </c>
      <c r="L48" s="114">
        <f>Informe!M84</f>
        <v>2960</v>
      </c>
      <c r="M48" s="114">
        <f>Informe!N84</f>
        <v>3040</v>
      </c>
      <c r="N48" s="114">
        <f>Informe!O84</f>
        <v>3576</v>
      </c>
    </row>
    <row r="49" spans="2:14" s="153" customFormat="1" ht="15">
      <c r="B49" s="153" t="s">
        <v>312</v>
      </c>
      <c r="C49" s="114">
        <f>Informe!D85</f>
        <v>0</v>
      </c>
      <c r="D49" s="114">
        <f>Informe!E85</f>
        <v>0</v>
      </c>
      <c r="E49" s="114">
        <f>Informe!F85</f>
        <v>23200</v>
      </c>
      <c r="F49" s="114">
        <f>Informe!G85</f>
        <v>24200</v>
      </c>
      <c r="G49" s="114">
        <f>Informe!H85</f>
        <v>28041</v>
      </c>
      <c r="H49" s="114">
        <f>Informe!I85</f>
        <v>44457</v>
      </c>
      <c r="I49" s="114">
        <f>Informe!J85</f>
        <v>79839</v>
      </c>
      <c r="J49" s="114">
        <f>Informe!K85</f>
        <v>13966</v>
      </c>
      <c r="K49" s="114">
        <f>Informe!L85</f>
        <v>15332</v>
      </c>
      <c r="L49" s="114">
        <f>Informe!M85</f>
        <v>22668</v>
      </c>
      <c r="M49" s="114">
        <f>Informe!N85</f>
        <v>37201</v>
      </c>
      <c r="N49" s="114">
        <f>Informe!O85</f>
        <v>35144</v>
      </c>
    </row>
    <row r="50" spans="2:14" s="153" customFormat="1" ht="15">
      <c r="B50" s="153" t="s">
        <v>313</v>
      </c>
      <c r="C50" s="114">
        <f>Informe!D86</f>
        <v>572</v>
      </c>
      <c r="D50" s="114">
        <f>Informe!E86</f>
        <v>1309</v>
      </c>
      <c r="E50" s="114">
        <f>Informe!F86</f>
        <v>2947</v>
      </c>
      <c r="F50" s="114">
        <f>Informe!G86</f>
        <v>4472</v>
      </c>
      <c r="G50" s="114">
        <f>Informe!H86</f>
        <v>10216</v>
      </c>
      <c r="H50" s="114">
        <f>Informe!I86</f>
        <v>12047</v>
      </c>
      <c r="I50" s="114">
        <f>Informe!J86</f>
        <v>15548</v>
      </c>
      <c r="J50" s="114">
        <f>Informe!K86</f>
        <v>9122</v>
      </c>
      <c r="K50" s="114">
        <f>Informe!L86</f>
        <v>9045</v>
      </c>
      <c r="L50" s="114">
        <f>Informe!M86</f>
        <v>8387</v>
      </c>
      <c r="M50" s="114">
        <f>Informe!N86</f>
        <v>8354</v>
      </c>
      <c r="N50" s="114">
        <f>Informe!O86</f>
        <v>18722</v>
      </c>
    </row>
    <row r="51" spans="2:14" ht="15">
      <c r="B51" s="153" t="s">
        <v>51</v>
      </c>
      <c r="C51" s="114">
        <f>Informe!D87</f>
        <v>70</v>
      </c>
      <c r="D51" s="114">
        <f>Informe!E87</f>
        <v>75</v>
      </c>
      <c r="E51" s="114">
        <f>Informe!F87</f>
        <v>68</v>
      </c>
      <c r="F51" s="114">
        <f>Informe!G87</f>
        <v>73</v>
      </c>
      <c r="G51" s="114">
        <f>Informe!H87</f>
        <v>67</v>
      </c>
      <c r="H51" s="114">
        <f>Informe!I87</f>
        <v>90</v>
      </c>
      <c r="I51" s="114">
        <f>Informe!J87</f>
        <v>81</v>
      </c>
      <c r="J51" s="114">
        <f>Informe!K87</f>
        <v>91</v>
      </c>
      <c r="K51" s="114">
        <f>Informe!L87</f>
        <v>91</v>
      </c>
      <c r="L51" s="114">
        <f>Informe!M87</f>
        <v>79</v>
      </c>
      <c r="M51" s="114">
        <f>Informe!N87</f>
        <v>45</v>
      </c>
      <c r="N51" s="114">
        <f>Informe!O87</f>
        <v>33</v>
      </c>
    </row>
    <row r="52" spans="2:14" ht="15">
      <c r="B52" s="153" t="s">
        <v>314</v>
      </c>
      <c r="C52" s="114">
        <f>Informe!D88</f>
        <v>275033</v>
      </c>
      <c r="D52" s="114">
        <f>Informe!E88</f>
        <v>345312</v>
      </c>
      <c r="E52" s="114">
        <f>Informe!F88</f>
        <v>451213</v>
      </c>
      <c r="F52" s="114">
        <f>Informe!G88</f>
        <v>530134</v>
      </c>
      <c r="G52" s="114">
        <f>Informe!H88</f>
        <v>544229</v>
      </c>
      <c r="H52" s="114">
        <f>Informe!I88</f>
        <v>552103</v>
      </c>
      <c r="I52" s="114">
        <f>Informe!J88</f>
        <v>611865</v>
      </c>
      <c r="J52" s="114">
        <f>Informe!K88</f>
        <v>637061</v>
      </c>
      <c r="K52" s="114">
        <f>Informe!L88</f>
        <v>654140</v>
      </c>
      <c r="L52" s="114">
        <f>Informe!M88</f>
        <v>660160</v>
      </c>
      <c r="M52" s="114">
        <f>Informe!N88</f>
        <v>642433</v>
      </c>
      <c r="N52" s="114">
        <f>Informe!O88</f>
        <v>495749</v>
      </c>
    </row>
    <row r="53" spans="2:14" ht="15">
      <c r="B53" s="153" t="s">
        <v>315</v>
      </c>
      <c r="C53" s="114">
        <f>Informe!D89</f>
        <v>3397</v>
      </c>
      <c r="D53" s="199" t="s">
        <v>365</v>
      </c>
      <c r="E53" s="114">
        <f>Informe!F89</f>
        <v>127212</v>
      </c>
      <c r="F53" s="114">
        <f>Informe!G89</f>
        <v>188340</v>
      </c>
      <c r="G53" s="114">
        <f>Informe!H89</f>
        <v>234697</v>
      </c>
      <c r="H53" s="114">
        <f>Informe!I89</f>
        <v>682226</v>
      </c>
      <c r="I53" s="114">
        <f>Informe!J89</f>
        <v>407364</v>
      </c>
      <c r="J53" s="114">
        <f>Informe!K89</f>
        <v>512300</v>
      </c>
      <c r="K53" s="114">
        <f>Informe!L89</f>
        <v>696935</v>
      </c>
      <c r="L53" s="114">
        <f>Informe!M89</f>
        <v>729650</v>
      </c>
      <c r="M53" s="114">
        <f>Informe!N89</f>
        <v>884545</v>
      </c>
      <c r="N53" s="114">
        <f>Informe!O89</f>
        <v>785732</v>
      </c>
    </row>
    <row r="54" spans="3:13" s="170" customFormat="1" ht="15">
      <c r="C54" s="114"/>
      <c r="D54" s="199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2:13" s="170" customFormat="1" ht="15">
      <c r="B55" s="182" t="s">
        <v>309</v>
      </c>
      <c r="C55" s="202" t="s">
        <v>362</v>
      </c>
      <c r="D55" s="202" t="s">
        <v>364</v>
      </c>
      <c r="E55" s="202" t="s">
        <v>356</v>
      </c>
      <c r="F55" s="202" t="s">
        <v>357</v>
      </c>
      <c r="G55" s="202" t="s">
        <v>358</v>
      </c>
      <c r="H55" s="202" t="s">
        <v>359</v>
      </c>
      <c r="I55" s="202" t="s">
        <v>8</v>
      </c>
      <c r="J55" s="202" t="s">
        <v>9</v>
      </c>
      <c r="K55" s="202" t="s">
        <v>10</v>
      </c>
      <c r="L55" s="202" t="s">
        <v>11</v>
      </c>
      <c r="M55" s="226" t="s">
        <v>397</v>
      </c>
    </row>
    <row r="56" spans="2:13" s="170" customFormat="1" ht="15">
      <c r="B56" s="170" t="s">
        <v>313</v>
      </c>
      <c r="C56" s="203">
        <f>C50</f>
        <v>572</v>
      </c>
      <c r="D56" s="204">
        <f>E50</f>
        <v>2947</v>
      </c>
      <c r="E56" s="204">
        <f aca="true" t="shared" si="12" ref="E56:M57">F50</f>
        <v>4472</v>
      </c>
      <c r="F56" s="204">
        <f t="shared" si="12"/>
        <v>10216</v>
      </c>
      <c r="G56" s="204">
        <f t="shared" si="12"/>
        <v>12047</v>
      </c>
      <c r="H56" s="204">
        <f t="shared" si="12"/>
        <v>15548</v>
      </c>
      <c r="I56" s="204">
        <f t="shared" si="12"/>
        <v>9122</v>
      </c>
      <c r="J56" s="204">
        <f t="shared" si="12"/>
        <v>9045</v>
      </c>
      <c r="K56" s="204">
        <f t="shared" si="12"/>
        <v>8387</v>
      </c>
      <c r="L56" s="204">
        <f t="shared" si="12"/>
        <v>8354</v>
      </c>
      <c r="M56" s="225">
        <f t="shared" si="12"/>
        <v>18722</v>
      </c>
    </row>
    <row r="57" spans="2:13" s="182" customFormat="1" ht="15">
      <c r="B57" s="182" t="s">
        <v>51</v>
      </c>
      <c r="C57" s="203">
        <f>C51</f>
        <v>70</v>
      </c>
      <c r="D57" s="204">
        <f>E51</f>
        <v>68</v>
      </c>
      <c r="E57" s="204">
        <f t="shared" si="12"/>
        <v>73</v>
      </c>
      <c r="F57" s="204">
        <f t="shared" si="12"/>
        <v>67</v>
      </c>
      <c r="G57" s="204">
        <f t="shared" si="12"/>
        <v>90</v>
      </c>
      <c r="H57" s="204">
        <f t="shared" si="12"/>
        <v>81</v>
      </c>
      <c r="I57" s="204">
        <f t="shared" si="12"/>
        <v>91</v>
      </c>
      <c r="J57" s="204">
        <f t="shared" si="12"/>
        <v>91</v>
      </c>
      <c r="K57" s="204">
        <f t="shared" si="12"/>
        <v>79</v>
      </c>
      <c r="L57" s="204">
        <f t="shared" si="12"/>
        <v>45</v>
      </c>
      <c r="M57" s="225">
        <f t="shared" si="12"/>
        <v>33</v>
      </c>
    </row>
    <row r="58" spans="2:13" s="170" customFormat="1" ht="15">
      <c r="B58" s="170" t="s">
        <v>315</v>
      </c>
      <c r="C58" s="203">
        <f>C53</f>
        <v>3397</v>
      </c>
      <c r="D58" s="204">
        <f>E53</f>
        <v>127212</v>
      </c>
      <c r="E58" s="204">
        <f aca="true" t="shared" si="13" ref="E58:M58">F53</f>
        <v>188340</v>
      </c>
      <c r="F58" s="204">
        <f t="shared" si="13"/>
        <v>234697</v>
      </c>
      <c r="G58" s="204">
        <f t="shared" si="13"/>
        <v>682226</v>
      </c>
      <c r="H58" s="204">
        <f t="shared" si="13"/>
        <v>407364</v>
      </c>
      <c r="I58" s="204">
        <f t="shared" si="13"/>
        <v>512300</v>
      </c>
      <c r="J58" s="204">
        <f t="shared" si="13"/>
        <v>696935</v>
      </c>
      <c r="K58" s="204">
        <f t="shared" si="13"/>
        <v>729650</v>
      </c>
      <c r="L58" s="204">
        <f t="shared" si="13"/>
        <v>884545</v>
      </c>
      <c r="M58" s="225">
        <f t="shared" si="13"/>
        <v>785732</v>
      </c>
    </row>
    <row r="59" spans="3:9" s="153" customFormat="1" ht="15">
      <c r="C59" s="114"/>
      <c r="D59" s="114"/>
      <c r="E59" s="114"/>
      <c r="F59" s="114"/>
      <c r="G59" s="114"/>
      <c r="H59" s="114"/>
      <c r="I59" s="114"/>
    </row>
    <row r="60" spans="3:9" s="153" customFormat="1" ht="15">
      <c r="C60" s="114"/>
      <c r="D60" s="114"/>
      <c r="E60" s="114"/>
      <c r="F60" s="114"/>
      <c r="G60" s="114"/>
      <c r="H60" s="114"/>
      <c r="I60" s="114"/>
    </row>
    <row r="61" s="153" customFormat="1" ht="23.25">
      <c r="B61" s="2" t="s">
        <v>360</v>
      </c>
    </row>
    <row r="62" s="153" customFormat="1" ht="15"/>
    <row r="63" spans="2:13" s="153" customFormat="1" ht="15">
      <c r="B63" s="153" t="s">
        <v>309</v>
      </c>
      <c r="C63" s="175" t="s">
        <v>363</v>
      </c>
      <c r="D63" s="175" t="s">
        <v>364</v>
      </c>
      <c r="E63" s="175" t="s">
        <v>356</v>
      </c>
      <c r="F63" s="175" t="s">
        <v>357</v>
      </c>
      <c r="G63" s="175" t="s">
        <v>358</v>
      </c>
      <c r="H63" s="175" t="s">
        <v>359</v>
      </c>
      <c r="I63" s="175" t="s">
        <v>8</v>
      </c>
      <c r="J63" s="175" t="s">
        <v>9</v>
      </c>
      <c r="K63" s="175" t="s">
        <v>10</v>
      </c>
      <c r="L63" s="175" t="s">
        <v>11</v>
      </c>
      <c r="M63" s="175" t="s">
        <v>397</v>
      </c>
    </row>
    <row r="64" spans="2:13" s="153" customFormat="1" ht="15">
      <c r="B64" s="153" t="s">
        <v>310</v>
      </c>
      <c r="C64" s="196">
        <f aca="true" t="shared" si="14" ref="C64:E64">D47-C47</f>
        <v>28080</v>
      </c>
      <c r="D64" s="196">
        <f t="shared" si="14"/>
        <v>32269</v>
      </c>
      <c r="E64" s="196">
        <f t="shared" si="14"/>
        <v>31216</v>
      </c>
      <c r="F64" s="196">
        <f aca="true" t="shared" si="15" ref="F64:M70">G47-F47</f>
        <v>5845</v>
      </c>
      <c r="G64" s="196">
        <f t="shared" si="15"/>
        <v>33610</v>
      </c>
      <c r="H64" s="196">
        <f t="shared" si="15"/>
        <v>26655</v>
      </c>
      <c r="I64" s="196">
        <f t="shared" si="15"/>
        <v>30487</v>
      </c>
      <c r="J64" s="196">
        <f t="shared" si="15"/>
        <v>30661</v>
      </c>
      <c r="K64" s="196">
        <f t="shared" si="15"/>
        <v>31238</v>
      </c>
      <c r="L64" s="196">
        <f t="shared" si="15"/>
        <v>8526</v>
      </c>
      <c r="M64" s="227">
        <f t="shared" si="15"/>
        <v>-6196</v>
      </c>
    </row>
    <row r="65" spans="2:13" s="153" customFormat="1" ht="15">
      <c r="B65" s="153" t="s">
        <v>311</v>
      </c>
      <c r="C65" s="196">
        <f aca="true" t="shared" si="16" ref="C65:E65">D48-C48</f>
        <v>1299</v>
      </c>
      <c r="D65" s="196">
        <f t="shared" si="16"/>
        <v>-499</v>
      </c>
      <c r="E65" s="196">
        <f t="shared" si="16"/>
        <v>854</v>
      </c>
      <c r="F65" s="196">
        <f t="shared" si="15"/>
        <v>-160</v>
      </c>
      <c r="G65" s="196">
        <f t="shared" si="15"/>
        <v>624</v>
      </c>
      <c r="H65" s="196">
        <f t="shared" si="15"/>
        <v>-2634</v>
      </c>
      <c r="I65" s="196">
        <f t="shared" si="15"/>
        <v>2195</v>
      </c>
      <c r="J65" s="196">
        <f t="shared" si="15"/>
        <v>51</v>
      </c>
      <c r="K65" s="196">
        <f t="shared" si="15"/>
        <v>90</v>
      </c>
      <c r="L65" s="196">
        <f t="shared" si="15"/>
        <v>80</v>
      </c>
      <c r="M65" s="227">
        <f t="shared" si="15"/>
        <v>536</v>
      </c>
    </row>
    <row r="66" spans="2:13" s="153" customFormat="1" ht="15">
      <c r="B66" s="153" t="s">
        <v>312</v>
      </c>
      <c r="C66" s="197" t="s">
        <v>365</v>
      </c>
      <c r="D66" s="196">
        <f>E49-D49</f>
        <v>23200</v>
      </c>
      <c r="E66" s="196">
        <f>F49-E49</f>
        <v>1000</v>
      </c>
      <c r="F66" s="196">
        <f t="shared" si="15"/>
        <v>3841</v>
      </c>
      <c r="G66" s="196">
        <f t="shared" si="15"/>
        <v>16416</v>
      </c>
      <c r="H66" s="196">
        <f t="shared" si="15"/>
        <v>35382</v>
      </c>
      <c r="I66" s="196">
        <f t="shared" si="15"/>
        <v>-65873</v>
      </c>
      <c r="J66" s="196">
        <f t="shared" si="15"/>
        <v>1366</v>
      </c>
      <c r="K66" s="196">
        <f t="shared" si="15"/>
        <v>7336</v>
      </c>
      <c r="L66" s="196">
        <f t="shared" si="15"/>
        <v>14533</v>
      </c>
      <c r="M66" s="227">
        <f t="shared" si="15"/>
        <v>-2057</v>
      </c>
    </row>
    <row r="67" spans="2:13" ht="15">
      <c r="B67" s="153" t="s">
        <v>313</v>
      </c>
      <c r="C67" s="196">
        <f aca="true" t="shared" si="17" ref="C67:E67">D50-C50</f>
        <v>737</v>
      </c>
      <c r="D67" s="196">
        <f t="shared" si="17"/>
        <v>1638</v>
      </c>
      <c r="E67" s="196">
        <f t="shared" si="17"/>
        <v>1525</v>
      </c>
      <c r="F67" s="196">
        <f t="shared" si="15"/>
        <v>5744</v>
      </c>
      <c r="G67" s="196">
        <f t="shared" si="15"/>
        <v>1831</v>
      </c>
      <c r="H67" s="196">
        <f t="shared" si="15"/>
        <v>3501</v>
      </c>
      <c r="I67" s="196">
        <f t="shared" si="15"/>
        <v>-6426</v>
      </c>
      <c r="J67" s="196">
        <f t="shared" si="15"/>
        <v>-77</v>
      </c>
      <c r="K67" s="196">
        <f t="shared" si="15"/>
        <v>-658</v>
      </c>
      <c r="L67" s="196">
        <f t="shared" si="15"/>
        <v>-33</v>
      </c>
      <c r="M67" s="227">
        <f t="shared" si="15"/>
        <v>10368</v>
      </c>
    </row>
    <row r="68" spans="2:13" ht="15">
      <c r="B68" s="153" t="s">
        <v>51</v>
      </c>
      <c r="C68" s="196">
        <f aca="true" t="shared" si="18" ref="C68:E68">D51-C51</f>
        <v>5</v>
      </c>
      <c r="D68" s="196">
        <f t="shared" si="18"/>
        <v>-7</v>
      </c>
      <c r="E68" s="196">
        <f t="shared" si="18"/>
        <v>5</v>
      </c>
      <c r="F68" s="196">
        <f t="shared" si="15"/>
        <v>-6</v>
      </c>
      <c r="G68" s="196">
        <f t="shared" si="15"/>
        <v>23</v>
      </c>
      <c r="H68" s="196">
        <f t="shared" si="15"/>
        <v>-9</v>
      </c>
      <c r="I68" s="196">
        <f t="shared" si="15"/>
        <v>10</v>
      </c>
      <c r="J68" s="196">
        <f t="shared" si="15"/>
        <v>0</v>
      </c>
      <c r="K68" s="196">
        <f t="shared" si="15"/>
        <v>-12</v>
      </c>
      <c r="L68" s="196">
        <f t="shared" si="15"/>
        <v>-34</v>
      </c>
      <c r="M68" s="227">
        <f t="shared" si="15"/>
        <v>-12</v>
      </c>
    </row>
    <row r="69" spans="2:13" ht="15">
      <c r="B69" s="153" t="s">
        <v>314</v>
      </c>
      <c r="C69" s="196">
        <f aca="true" t="shared" si="19" ref="C69:E69">D52-C52</f>
        <v>70279</v>
      </c>
      <c r="D69" s="196">
        <f t="shared" si="19"/>
        <v>105901</v>
      </c>
      <c r="E69" s="196">
        <f t="shared" si="19"/>
        <v>78921</v>
      </c>
      <c r="F69" s="196">
        <f t="shared" si="15"/>
        <v>14095</v>
      </c>
      <c r="G69" s="196">
        <f t="shared" si="15"/>
        <v>7874</v>
      </c>
      <c r="H69" s="196">
        <f t="shared" si="15"/>
        <v>59762</v>
      </c>
      <c r="I69" s="196">
        <f t="shared" si="15"/>
        <v>25196</v>
      </c>
      <c r="J69" s="196">
        <f t="shared" si="15"/>
        <v>17079</v>
      </c>
      <c r="K69" s="196">
        <f t="shared" si="15"/>
        <v>6020</v>
      </c>
      <c r="L69" s="196">
        <f t="shared" si="15"/>
        <v>-17727</v>
      </c>
      <c r="M69" s="227">
        <f t="shared" si="15"/>
        <v>-146684</v>
      </c>
    </row>
    <row r="70" spans="2:13" ht="15">
      <c r="B70" s="153" t="s">
        <v>315</v>
      </c>
      <c r="C70" s="197" t="s">
        <v>365</v>
      </c>
      <c r="D70" s="198" t="s">
        <v>365</v>
      </c>
      <c r="E70" s="196">
        <f>F53-E53</f>
        <v>61128</v>
      </c>
      <c r="F70" s="196">
        <f t="shared" si="15"/>
        <v>46357</v>
      </c>
      <c r="G70" s="196">
        <f t="shared" si="15"/>
        <v>447529</v>
      </c>
      <c r="H70" s="196">
        <f t="shared" si="15"/>
        <v>-274862</v>
      </c>
      <c r="I70" s="196">
        <f t="shared" si="15"/>
        <v>104936</v>
      </c>
      <c r="J70" s="196">
        <f t="shared" si="15"/>
        <v>184635</v>
      </c>
      <c r="K70" s="196">
        <f t="shared" si="15"/>
        <v>32715</v>
      </c>
      <c r="L70" s="196">
        <f t="shared" si="15"/>
        <v>154895</v>
      </c>
      <c r="M70" s="227">
        <f t="shared" si="15"/>
        <v>-98813</v>
      </c>
    </row>
    <row r="71" spans="3:9" s="153" customFormat="1" ht="15">
      <c r="C71" s="176"/>
      <c r="D71" s="176"/>
      <c r="E71" s="176"/>
      <c r="F71" s="176"/>
      <c r="G71" s="176"/>
      <c r="H71" s="176"/>
      <c r="I71" s="176"/>
    </row>
    <row r="72" spans="3:9" s="153" customFormat="1" ht="15">
      <c r="C72" s="176"/>
      <c r="D72" s="176"/>
      <c r="E72" s="176"/>
      <c r="F72" s="176"/>
      <c r="G72" s="176"/>
      <c r="H72" s="176"/>
      <c r="I72" s="176"/>
    </row>
    <row r="73" spans="2:10" s="142" customFormat="1" ht="24" thickBot="1">
      <c r="B73" s="2" t="s">
        <v>347</v>
      </c>
      <c r="C73"/>
      <c r="D73"/>
      <c r="E73"/>
      <c r="F73"/>
      <c r="G73"/>
      <c r="H73"/>
      <c r="I73"/>
      <c r="J73"/>
    </row>
    <row r="74" spans="2:12" ht="15.75" thickTop="1">
      <c r="B74" s="101"/>
      <c r="C74" s="252">
        <v>2008</v>
      </c>
      <c r="D74" s="253"/>
      <c r="E74" s="252">
        <v>2009</v>
      </c>
      <c r="F74" s="253"/>
      <c r="G74" s="252">
        <v>2010</v>
      </c>
      <c r="H74" s="251"/>
      <c r="I74" s="252">
        <v>2011</v>
      </c>
      <c r="J74" s="255"/>
      <c r="K74" s="252">
        <v>2012</v>
      </c>
      <c r="L74" s="255"/>
    </row>
    <row r="75" spans="1:12" ht="15.75" thickBot="1">
      <c r="A75" s="142"/>
      <c r="B75" s="103" t="s">
        <v>173</v>
      </c>
      <c r="C75" s="106">
        <f>Informe!D78</f>
        <v>0.5059361075892894</v>
      </c>
      <c r="D75" s="106">
        <f>Informe!E78</f>
        <v>0.5786686080833874</v>
      </c>
      <c r="E75" s="106">
        <f>Informe!F78</f>
        <v>0.5177232379040415</v>
      </c>
      <c r="F75" s="106">
        <f>Informe!G78</f>
        <v>0.5869425880732599</v>
      </c>
      <c r="G75" s="106">
        <f>Informe!H78</f>
        <v>0.6165212250587319</v>
      </c>
      <c r="H75" s="106">
        <f>Informe!I78</f>
        <v>0.6872037033080304</v>
      </c>
      <c r="I75" s="106">
        <f>Informe!J78</f>
        <v>0.6054969022463114</v>
      </c>
      <c r="J75" s="106">
        <f>Informe!K78</f>
        <v>0.6776889384616532</v>
      </c>
      <c r="K75" s="106">
        <f>Informe!L78</f>
        <v>0.5273961005782285</v>
      </c>
      <c r="L75" s="106">
        <f>Informe!M78</f>
        <v>0.5938160206338926</v>
      </c>
    </row>
    <row r="76" spans="1:6" ht="15.75" thickTop="1">
      <c r="A76" s="142"/>
      <c r="B76" s="142"/>
      <c r="C76" s="142"/>
      <c r="D76" s="142"/>
      <c r="E76" s="142"/>
      <c r="F76" s="142"/>
    </row>
    <row r="77" spans="4:14" ht="15">
      <c r="D77" s="261" t="s">
        <v>368</v>
      </c>
      <c r="E77" s="261"/>
      <c r="F77" s="262"/>
      <c r="G77" s="262"/>
      <c r="K77" s="270" t="s">
        <v>403</v>
      </c>
      <c r="L77" s="270"/>
      <c r="M77" s="270"/>
      <c r="N77" s="270"/>
    </row>
    <row r="78" spans="2:14" ht="15">
      <c r="B78" s="258" t="s">
        <v>348</v>
      </c>
      <c r="C78" s="258"/>
      <c r="D78" s="258" t="s">
        <v>399</v>
      </c>
      <c r="E78" s="258"/>
      <c r="F78" s="258" t="s">
        <v>395</v>
      </c>
      <c r="G78" s="258"/>
      <c r="H78" s="267" t="s">
        <v>388</v>
      </c>
      <c r="I78" s="268"/>
      <c r="K78" s="228" t="s">
        <v>401</v>
      </c>
      <c r="L78" s="228" t="s">
        <v>402</v>
      </c>
      <c r="M78" s="231"/>
      <c r="N78" s="228" t="s">
        <v>400</v>
      </c>
    </row>
    <row r="79" spans="2:14" ht="15">
      <c r="B79" s="260" t="s">
        <v>350</v>
      </c>
      <c r="C79" s="260"/>
      <c r="D79" s="259">
        <f>PEARSON(C7:N7,C15:N15)</f>
        <v>0.5761898754085661</v>
      </c>
      <c r="E79" s="259"/>
      <c r="F79" s="265">
        <v>0.576</v>
      </c>
      <c r="G79" s="265"/>
      <c r="H79" s="256" t="str">
        <f aca="true" t="shared" si="20" ref="H79:H90">IF(ABS(D79)&gt;F79,"Existe correlación","NO existe correlación")</f>
        <v>Existe correlación</v>
      </c>
      <c r="I79" s="257"/>
      <c r="J79" s="216"/>
      <c r="K79" s="248">
        <f>TANH(N79-(D79/SQRT(9)))</f>
        <v>0.43388826255310353</v>
      </c>
      <c r="L79" s="248">
        <f>TANH(N79+(D79/SQRT(9)))</f>
        <v>0.6904438189329368</v>
      </c>
      <c r="M79" s="232"/>
      <c r="N79" s="229">
        <f>0.5*LN((1+D79)/(1-D79))</f>
        <v>0.6567401034549167</v>
      </c>
    </row>
    <row r="80" spans="2:14" s="216" customFormat="1" ht="15">
      <c r="B80" s="256" t="s">
        <v>394</v>
      </c>
      <c r="C80" s="257"/>
      <c r="D80" s="263">
        <f>PEARSON(C7:N7,C37:N37)</f>
        <v>0.5444657497746802</v>
      </c>
      <c r="E80" s="264"/>
      <c r="F80" s="265">
        <v>0.576</v>
      </c>
      <c r="G80" s="265"/>
      <c r="H80" s="256" t="str">
        <f t="shared" si="20"/>
        <v>NO existe correlación</v>
      </c>
      <c r="I80" s="257"/>
      <c r="K80" s="248">
        <f aca="true" t="shared" si="21" ref="K80:K87">TANH(N80-(D80/SQRT(9)))</f>
        <v>0.4044790927101946</v>
      </c>
      <c r="L80" s="248">
        <f aca="true" t="shared" si="22" ref="L80:L87">TANH(N80+(D80/SQRT(9)))</f>
        <v>0.6595234750429846</v>
      </c>
      <c r="M80" s="232"/>
      <c r="N80" s="229">
        <f aca="true" t="shared" si="23" ref="N80:N90">0.5*LN((1+D80)/(1-D80))</f>
        <v>0.6104812150205504</v>
      </c>
    </row>
    <row r="81" spans="2:14" ht="15">
      <c r="B81" s="260" t="s">
        <v>349</v>
      </c>
      <c r="C81" s="260"/>
      <c r="D81" s="259">
        <f>PEARSON(C47:N47,C52:N52)</f>
        <v>0.8223332975511621</v>
      </c>
      <c r="E81" s="259"/>
      <c r="F81" s="265">
        <v>0.576</v>
      </c>
      <c r="G81" s="265"/>
      <c r="H81" s="256" t="str">
        <f t="shared" si="20"/>
        <v>Existe correlación</v>
      </c>
      <c r="I81" s="257"/>
      <c r="J81" s="216"/>
      <c r="K81" s="248">
        <f t="shared" si="21"/>
        <v>0.7113298758888165</v>
      </c>
      <c r="L81" s="248">
        <f t="shared" si="22"/>
        <v>0.8933131699222012</v>
      </c>
      <c r="M81" s="232"/>
      <c r="N81" s="229">
        <f t="shared" si="23"/>
        <v>1.163981826846613</v>
      </c>
    </row>
    <row r="82" spans="2:14" ht="15">
      <c r="B82" s="260" t="s">
        <v>351</v>
      </c>
      <c r="C82" s="260"/>
      <c r="D82" s="259">
        <f>PEARSON(C56:M56,C58:M58)</f>
        <v>0.622480451745183</v>
      </c>
      <c r="E82" s="259"/>
      <c r="F82" s="265">
        <v>0.6021</v>
      </c>
      <c r="G82" s="265"/>
      <c r="H82" s="256" t="str">
        <f t="shared" si="20"/>
        <v>Existe correlación</v>
      </c>
      <c r="I82" s="257"/>
      <c r="J82" s="216"/>
      <c r="K82" s="248">
        <f>TANH(N82-(D82/SQRT(8)))</f>
        <v>0.4691379563742449</v>
      </c>
      <c r="L82" s="248">
        <f>TANH(N82+(D82/SQRT(8)))</f>
        <v>0.7393864821182977</v>
      </c>
      <c r="M82" s="232"/>
      <c r="N82" s="229">
        <f t="shared" si="23"/>
        <v>0.7290445247349105</v>
      </c>
    </row>
    <row r="83" spans="2:14" s="182" customFormat="1" ht="15">
      <c r="B83" s="256" t="s">
        <v>366</v>
      </c>
      <c r="C83" s="257"/>
      <c r="D83" s="263">
        <f>PEARSON(C57:M57,C58:M58)</f>
        <v>-0.17945369235627148</v>
      </c>
      <c r="E83" s="264"/>
      <c r="F83" s="265">
        <v>0.6021</v>
      </c>
      <c r="G83" s="265"/>
      <c r="H83" s="256" t="str">
        <f t="shared" si="20"/>
        <v>NO existe correlación</v>
      </c>
      <c r="I83" s="257"/>
      <c r="J83" s="216"/>
      <c r="K83" s="248">
        <f>TANH(N83-(D83/SQRT(8)))</f>
        <v>-0.1174274302862638</v>
      </c>
      <c r="L83" s="248">
        <f>TANH(N83+(D83/SQRT(8)))</f>
        <v>-0.24008527963222417</v>
      </c>
      <c r="M83" s="232"/>
      <c r="N83" s="229">
        <f t="shared" si="23"/>
        <v>-0.18141814520758937</v>
      </c>
    </row>
    <row r="84" spans="2:14" s="236" customFormat="1" ht="15">
      <c r="B84" s="256" t="s">
        <v>405</v>
      </c>
      <c r="C84" s="257"/>
      <c r="D84" s="263">
        <f>PEARSON(C41:M41,C58:M58)</f>
        <v>0.9307842464764661</v>
      </c>
      <c r="E84" s="264"/>
      <c r="F84" s="265">
        <v>0.6021</v>
      </c>
      <c r="G84" s="265"/>
      <c r="H84" s="256" t="str">
        <f t="shared" si="20"/>
        <v>Existe correlación</v>
      </c>
      <c r="I84" s="257"/>
      <c r="K84" s="248">
        <f>TANH(N84-(D84/SQRT(8)))</f>
        <v>0.8705010937532384</v>
      </c>
      <c r="L84" s="248">
        <f>TANH(N84+(D84/SQRT(8)))</f>
        <v>0.9635517544752987</v>
      </c>
      <c r="M84" s="232"/>
      <c r="N84" s="229">
        <f t="shared" si="23"/>
        <v>1.6642265279493047</v>
      </c>
    </row>
    <row r="85" spans="2:14" ht="15">
      <c r="B85" s="260" t="s">
        <v>352</v>
      </c>
      <c r="C85" s="260"/>
      <c r="D85" s="259">
        <f>PEARSON(C25:M25,C58:M58)</f>
        <v>0.932983870162116</v>
      </c>
      <c r="E85" s="259"/>
      <c r="F85" s="265">
        <v>0.6021</v>
      </c>
      <c r="G85" s="265"/>
      <c r="H85" s="256" t="str">
        <f t="shared" si="20"/>
        <v>Existe correlación</v>
      </c>
      <c r="I85" s="257"/>
      <c r="K85" s="248">
        <f>TANH(N85-(D85/SQRT(8)))</f>
        <v>0.8743088534622825</v>
      </c>
      <c r="L85" s="248">
        <f>TANH(N85+(D85/SQRT(8)))</f>
        <v>0.9647829258487015</v>
      </c>
      <c r="M85" s="232"/>
      <c r="N85" s="229">
        <f t="shared" si="23"/>
        <v>1.6809434002246952</v>
      </c>
    </row>
    <row r="86" spans="2:14" s="211" customFormat="1" ht="15">
      <c r="B86" s="212" t="s">
        <v>390</v>
      </c>
      <c r="C86" s="213"/>
      <c r="D86" s="263">
        <f>PEARSON(C5:N5,C52:N52)</f>
        <v>-0.6703446913630471</v>
      </c>
      <c r="E86" s="264"/>
      <c r="F86" s="271">
        <v>0.576</v>
      </c>
      <c r="G86" s="272"/>
      <c r="H86" s="256" t="str">
        <f t="shared" si="20"/>
        <v>Existe correlación</v>
      </c>
      <c r="I86" s="257"/>
      <c r="K86" s="248">
        <f t="shared" si="21"/>
        <v>-0.5283984463352762</v>
      </c>
      <c r="L86" s="248">
        <f t="shared" si="22"/>
        <v>-0.7758331154328396</v>
      </c>
      <c r="M86" s="232"/>
      <c r="N86" s="229">
        <f t="shared" si="23"/>
        <v>-0.8113688484192492</v>
      </c>
    </row>
    <row r="87" spans="2:14" s="247" customFormat="1" ht="15">
      <c r="B87" s="256" t="s">
        <v>441</v>
      </c>
      <c r="C87" s="257"/>
      <c r="D87" s="263">
        <f>PEARSON(C5:N5,C37:N37)</f>
        <v>-0.9024884552308741</v>
      </c>
      <c r="E87" s="264"/>
      <c r="F87" s="271">
        <v>0.576</v>
      </c>
      <c r="G87" s="272"/>
      <c r="H87" s="256" t="str">
        <f aca="true" t="shared" si="24" ref="H87">IF(ABS(D87)&gt;F87,"Existe correlación","NO existe correlación")</f>
        <v>Existe correlación</v>
      </c>
      <c r="I87" s="257"/>
      <c r="K87" s="248">
        <f t="shared" si="21"/>
        <v>-0.8289104015147191</v>
      </c>
      <c r="L87" s="248">
        <f t="shared" si="22"/>
        <v>-0.9453690395722641</v>
      </c>
      <c r="M87" s="232"/>
      <c r="N87" s="229">
        <f t="shared" si="23"/>
        <v>-1.4854736213125135</v>
      </c>
    </row>
    <row r="88" spans="2:14" s="182" customFormat="1" ht="15">
      <c r="B88" s="256" t="s">
        <v>367</v>
      </c>
      <c r="C88" s="257"/>
      <c r="D88" s="263">
        <f>PEARSON(C6:N6,C15:N15)</f>
        <v>0.9536168687481495</v>
      </c>
      <c r="E88" s="264"/>
      <c r="F88" s="265">
        <v>0.576</v>
      </c>
      <c r="G88" s="265"/>
      <c r="H88" s="256" t="str">
        <f t="shared" si="20"/>
        <v>Existe correlación</v>
      </c>
      <c r="I88" s="257"/>
      <c r="K88" s="248">
        <f>TANH(N88-(D88/SQRT(8)))</f>
        <v>0.9109529924865752</v>
      </c>
      <c r="L88" s="248">
        <f>TANH(N88+(D88/SQRT(8)))</f>
        <v>0.9760954850888046</v>
      </c>
      <c r="M88" s="232"/>
      <c r="N88" s="229">
        <f t="shared" si="23"/>
        <v>1.87025094774663</v>
      </c>
    </row>
    <row r="89" spans="2:14" s="216" customFormat="1" ht="15">
      <c r="B89" s="214" t="s">
        <v>396</v>
      </c>
      <c r="C89" s="215"/>
      <c r="D89" s="263">
        <f>PEARSON(C37:N37,C6:N6)</f>
        <v>0.9410696426606673</v>
      </c>
      <c r="E89" s="264"/>
      <c r="F89" s="271">
        <v>0.576</v>
      </c>
      <c r="G89" s="272"/>
      <c r="H89" s="256" t="str">
        <f t="shared" si="20"/>
        <v>Existe correlación</v>
      </c>
      <c r="I89" s="257"/>
      <c r="K89" s="248">
        <f>TANH(N89-(D89/SQRT(7)))</f>
        <v>0.8835285840259949</v>
      </c>
      <c r="L89" s="248">
        <f>TANH(N89+(D89/SQRT(7)))</f>
        <v>0.9706266736128124</v>
      </c>
      <c r="M89" s="232"/>
      <c r="N89" s="229">
        <f t="shared" si="23"/>
        <v>1.7473190498423394</v>
      </c>
    </row>
    <row r="90" spans="2:14" ht="15">
      <c r="B90" s="260" t="s">
        <v>353</v>
      </c>
      <c r="C90" s="260"/>
      <c r="D90" s="259">
        <f>PEARSON(C10:M10,C58:M58)</f>
        <v>0.8851692342368629</v>
      </c>
      <c r="E90" s="259"/>
      <c r="F90" s="265">
        <v>0.6021</v>
      </c>
      <c r="G90" s="265"/>
      <c r="H90" s="256" t="str">
        <f t="shared" si="20"/>
        <v>Existe correlación</v>
      </c>
      <c r="I90" s="257"/>
      <c r="K90" s="248">
        <f>TANH(N90-(D90/SQRT(7)))</f>
        <v>0.7874158690007126</v>
      </c>
      <c r="L90" s="248">
        <f>TANH(N90+(D90/SQRT(7)))</f>
        <v>0.9394939189994451</v>
      </c>
      <c r="M90" s="230"/>
      <c r="N90" s="229">
        <f t="shared" si="23"/>
        <v>1.3991567164271996</v>
      </c>
    </row>
    <row r="92" spans="2:7" s="247" customFormat="1" ht="15">
      <c r="B92" s="258" t="s">
        <v>348</v>
      </c>
      <c r="C92" s="258"/>
      <c r="D92" s="258" t="s">
        <v>437</v>
      </c>
      <c r="E92" s="258"/>
      <c r="F92" s="258" t="s">
        <v>388</v>
      </c>
      <c r="G92" s="258"/>
    </row>
    <row r="93" spans="2:11" s="247" customFormat="1" ht="15">
      <c r="B93" s="256" t="s">
        <v>394</v>
      </c>
      <c r="C93" s="257"/>
      <c r="D93" s="263">
        <v>0.455</v>
      </c>
      <c r="E93" s="264"/>
      <c r="F93" s="266" t="s">
        <v>439</v>
      </c>
      <c r="G93" s="266"/>
      <c r="I93" s="247" t="s">
        <v>442</v>
      </c>
      <c r="K93" s="247">
        <f>((1.96+0.842)/(0.5*LN((1+0.75)/(1-0.75))))*((1.96+0.842)/(0.5*LN((1+0.75)/(1-0.75))))+3</f>
        <v>11.293745162212149</v>
      </c>
    </row>
    <row r="94" spans="2:7" s="247" customFormat="1" ht="15">
      <c r="B94" s="260" t="s">
        <v>349</v>
      </c>
      <c r="C94" s="260"/>
      <c r="D94" s="259">
        <v>0.769</v>
      </c>
      <c r="E94" s="259"/>
      <c r="F94" s="266" t="s">
        <v>438</v>
      </c>
      <c r="G94" s="266"/>
    </row>
    <row r="95" spans="2:7" s="247" customFormat="1" ht="15">
      <c r="B95" s="260" t="s">
        <v>351</v>
      </c>
      <c r="C95" s="260"/>
      <c r="D95" s="259">
        <v>0.473</v>
      </c>
      <c r="E95" s="259"/>
      <c r="F95" s="266" t="s">
        <v>439</v>
      </c>
      <c r="G95" s="266"/>
    </row>
    <row r="96" spans="2:7" s="247" customFormat="1" ht="15">
      <c r="B96" s="256" t="s">
        <v>405</v>
      </c>
      <c r="C96" s="257"/>
      <c r="D96" s="263">
        <v>0.964</v>
      </c>
      <c r="E96" s="264"/>
      <c r="F96" s="266" t="s">
        <v>438</v>
      </c>
      <c r="G96" s="266"/>
    </row>
    <row r="97" spans="2:7" s="247" customFormat="1" ht="15">
      <c r="B97" s="212" t="s">
        <v>390</v>
      </c>
      <c r="C97" s="213"/>
      <c r="D97" s="263">
        <v>-0.664</v>
      </c>
      <c r="E97" s="264"/>
      <c r="F97" s="266" t="s">
        <v>438</v>
      </c>
      <c r="G97" s="266"/>
    </row>
    <row r="98" spans="2:7" s="247" customFormat="1" ht="15">
      <c r="B98" s="256" t="s">
        <v>441</v>
      </c>
      <c r="C98" s="257"/>
      <c r="D98" s="263">
        <v>-0.951</v>
      </c>
      <c r="E98" s="264"/>
      <c r="F98" s="266" t="s">
        <v>438</v>
      </c>
      <c r="G98" s="266"/>
    </row>
    <row r="99" spans="2:7" s="247" customFormat="1" ht="15">
      <c r="B99" s="245" t="s">
        <v>396</v>
      </c>
      <c r="C99" s="246"/>
      <c r="D99" s="263">
        <v>0.958</v>
      </c>
      <c r="E99" s="264"/>
      <c r="F99" s="266" t="s">
        <v>438</v>
      </c>
      <c r="G99" s="266"/>
    </row>
    <row r="100" spans="2:7" s="247" customFormat="1" ht="15">
      <c r="B100" s="260" t="s">
        <v>353</v>
      </c>
      <c r="C100" s="260"/>
      <c r="D100" s="259">
        <v>0.9</v>
      </c>
      <c r="E100" s="259"/>
      <c r="F100" s="266" t="s">
        <v>438</v>
      </c>
      <c r="G100" s="266"/>
    </row>
    <row r="102" spans="2:7" ht="15">
      <c r="B102" s="209"/>
      <c r="C102" s="209"/>
      <c r="D102" s="261"/>
      <c r="E102" s="261"/>
      <c r="F102" s="262"/>
      <c r="G102" s="262"/>
    </row>
    <row r="103" spans="2:9" ht="15">
      <c r="B103" s="258" t="s">
        <v>348</v>
      </c>
      <c r="C103" s="258"/>
      <c r="D103" s="258" t="s">
        <v>398</v>
      </c>
      <c r="E103" s="258"/>
      <c r="F103" s="262"/>
      <c r="G103" s="262"/>
      <c r="H103" s="168"/>
      <c r="I103" s="168"/>
    </row>
    <row r="104" spans="2:9" ht="15">
      <c r="B104" s="260" t="s">
        <v>350</v>
      </c>
      <c r="C104" s="260"/>
      <c r="D104" s="259">
        <f>PEARSON(J7:M7,J15:M15)</f>
        <v>-0.8996359648176627</v>
      </c>
      <c r="E104" s="259"/>
      <c r="F104" s="269"/>
      <c r="G104" s="269"/>
      <c r="H104" s="91"/>
      <c r="I104" s="90"/>
    </row>
    <row r="105" spans="2:9" s="218" customFormat="1" ht="15">
      <c r="B105" s="256" t="s">
        <v>394</v>
      </c>
      <c r="C105" s="257"/>
      <c r="D105" s="263">
        <f>PEARSON(J7:N7,J37:N37)</f>
        <v>-0.9490864956047607</v>
      </c>
      <c r="E105" s="264"/>
      <c r="F105" s="217"/>
      <c r="G105" s="217"/>
      <c r="H105" s="91"/>
      <c r="I105" s="90"/>
    </row>
    <row r="106" spans="2:9" ht="15">
      <c r="B106" s="260" t="s">
        <v>349</v>
      </c>
      <c r="C106" s="260"/>
      <c r="D106" s="259">
        <f>PEARSON(J47:N47,J52:N52)</f>
        <v>-0.2922065125687226</v>
      </c>
      <c r="E106" s="259"/>
      <c r="F106" s="269"/>
      <c r="G106" s="269"/>
      <c r="H106" s="91"/>
      <c r="I106" s="90"/>
    </row>
    <row r="107" spans="2:9" ht="15">
      <c r="B107" s="260" t="s">
        <v>351</v>
      </c>
      <c r="C107" s="260"/>
      <c r="D107" s="259">
        <f>PEARSON(I56:M56,I58:M58)</f>
        <v>0.1971348408670341</v>
      </c>
      <c r="E107" s="259"/>
      <c r="F107" s="269"/>
      <c r="G107" s="269"/>
      <c r="H107" s="91"/>
      <c r="I107" s="90"/>
    </row>
    <row r="108" spans="2:9" ht="15">
      <c r="B108" s="256" t="s">
        <v>366</v>
      </c>
      <c r="C108" s="257"/>
      <c r="D108" s="263">
        <f>PEARSON(C68:M68,C70:M70)</f>
        <v>0.4673956640253699</v>
      </c>
      <c r="E108" s="264"/>
      <c r="F108" s="269"/>
      <c r="G108" s="269"/>
      <c r="H108" s="91"/>
      <c r="I108" s="90"/>
    </row>
    <row r="109" spans="2:9" ht="15">
      <c r="B109" s="260" t="s">
        <v>352</v>
      </c>
      <c r="C109" s="260"/>
      <c r="D109" s="259">
        <f>PEARSON(I25:M25,I58:M58)</f>
        <v>0.9509022134929265</v>
      </c>
      <c r="E109" s="259"/>
      <c r="F109" s="269"/>
      <c r="G109" s="269"/>
      <c r="H109" s="91"/>
      <c r="I109" s="90"/>
    </row>
    <row r="110" spans="2:9" s="211" customFormat="1" ht="15">
      <c r="B110" s="212" t="s">
        <v>390</v>
      </c>
      <c r="C110" s="213"/>
      <c r="D110" s="263">
        <f>PEARSON(J5:N5,J52:N52)</f>
        <v>0.559182986657932</v>
      </c>
      <c r="E110" s="264"/>
      <c r="F110" s="210"/>
      <c r="G110" s="210"/>
      <c r="H110" s="91"/>
      <c r="I110" s="90"/>
    </row>
    <row r="111" spans="2:9" ht="15">
      <c r="B111" s="256" t="s">
        <v>367</v>
      </c>
      <c r="C111" s="257"/>
      <c r="D111" s="263">
        <f>PEARSON(J6:N6,J15:N15)</f>
        <v>0.6074104735743585</v>
      </c>
      <c r="E111" s="264"/>
      <c r="F111" s="269"/>
      <c r="G111" s="269"/>
      <c r="H111" s="91"/>
      <c r="I111" s="90"/>
    </row>
    <row r="112" spans="2:9" s="218" customFormat="1" ht="15">
      <c r="B112" s="256" t="s">
        <v>396</v>
      </c>
      <c r="C112" s="257"/>
      <c r="D112" s="263">
        <f>PEARSON(J6:N6,J37:N37)</f>
        <v>0.5694006476907489</v>
      </c>
      <c r="E112" s="264"/>
      <c r="F112" s="217"/>
      <c r="G112" s="217"/>
      <c r="H112" s="91"/>
      <c r="I112" s="90"/>
    </row>
    <row r="113" spans="2:9" ht="15">
      <c r="B113" s="260" t="s">
        <v>353</v>
      </c>
      <c r="C113" s="260"/>
      <c r="D113" s="259">
        <f>PEARSON(J6:N6,J53:N53)</f>
        <v>0.5565632885081234</v>
      </c>
      <c r="E113" s="259"/>
      <c r="F113" s="269"/>
      <c r="G113" s="269"/>
      <c r="H113" s="91"/>
      <c r="I113" s="90"/>
    </row>
  </sheetData>
  <mergeCells count="112">
    <mergeCell ref="B100:C100"/>
    <mergeCell ref="D100:E100"/>
    <mergeCell ref="B96:C96"/>
    <mergeCell ref="D96:E96"/>
    <mergeCell ref="B93:C93"/>
    <mergeCell ref="D93:E93"/>
    <mergeCell ref="B94:C94"/>
    <mergeCell ref="D94:E94"/>
    <mergeCell ref="K77:N77"/>
    <mergeCell ref="B87:C87"/>
    <mergeCell ref="F90:G90"/>
    <mergeCell ref="D86:E86"/>
    <mergeCell ref="F86:G86"/>
    <mergeCell ref="D90:E90"/>
    <mergeCell ref="D89:E89"/>
    <mergeCell ref="F89:G89"/>
    <mergeCell ref="D88:E88"/>
    <mergeCell ref="B92:C92"/>
    <mergeCell ref="D92:E92"/>
    <mergeCell ref="B95:C95"/>
    <mergeCell ref="D95:E95"/>
    <mergeCell ref="D87:E87"/>
    <mergeCell ref="F87:G87"/>
    <mergeCell ref="F92:G92"/>
    <mergeCell ref="B113:C113"/>
    <mergeCell ref="D113:E113"/>
    <mergeCell ref="F113:G113"/>
    <mergeCell ref="B109:C109"/>
    <mergeCell ref="D109:E109"/>
    <mergeCell ref="F109:G109"/>
    <mergeCell ref="B111:C111"/>
    <mergeCell ref="D111:E111"/>
    <mergeCell ref="F111:G111"/>
    <mergeCell ref="D110:E110"/>
    <mergeCell ref="B112:C112"/>
    <mergeCell ref="D112:E112"/>
    <mergeCell ref="B107:C107"/>
    <mergeCell ref="D107:E107"/>
    <mergeCell ref="F107:G107"/>
    <mergeCell ref="B108:C108"/>
    <mergeCell ref="D108:E108"/>
    <mergeCell ref="F108:G108"/>
    <mergeCell ref="B104:C104"/>
    <mergeCell ref="F97:G97"/>
    <mergeCell ref="F99:G99"/>
    <mergeCell ref="F100:G100"/>
    <mergeCell ref="D104:E104"/>
    <mergeCell ref="F104:G104"/>
    <mergeCell ref="B106:C106"/>
    <mergeCell ref="D106:E106"/>
    <mergeCell ref="F106:G106"/>
    <mergeCell ref="B105:C105"/>
    <mergeCell ref="D105:E105"/>
    <mergeCell ref="B103:C103"/>
    <mergeCell ref="D103:E103"/>
    <mergeCell ref="F103:G103"/>
    <mergeCell ref="D102:G102"/>
    <mergeCell ref="B98:C98"/>
    <mergeCell ref="D98:E98"/>
    <mergeCell ref="F98:G98"/>
    <mergeCell ref="C74:D74"/>
    <mergeCell ref="E74:F74"/>
    <mergeCell ref="G74:H74"/>
    <mergeCell ref="D83:E83"/>
    <mergeCell ref="B83:C83"/>
    <mergeCell ref="F82:G82"/>
    <mergeCell ref="F83:G83"/>
    <mergeCell ref="F79:G79"/>
    <mergeCell ref="F81:G81"/>
    <mergeCell ref="H78:I78"/>
    <mergeCell ref="F93:G93"/>
    <mergeCell ref="F94:G94"/>
    <mergeCell ref="F95:G95"/>
    <mergeCell ref="F96:G96"/>
    <mergeCell ref="D97:E97"/>
    <mergeCell ref="D99:E99"/>
    <mergeCell ref="H86:I86"/>
    <mergeCell ref="H88:I88"/>
    <mergeCell ref="H87:I87"/>
    <mergeCell ref="B90:C90"/>
    <mergeCell ref="B88:C88"/>
    <mergeCell ref="B84:C84"/>
    <mergeCell ref="D85:E85"/>
    <mergeCell ref="B85:C85"/>
    <mergeCell ref="F85:G85"/>
    <mergeCell ref="F88:G88"/>
    <mergeCell ref="D84:E84"/>
    <mergeCell ref="F84:G84"/>
    <mergeCell ref="K74:L74"/>
    <mergeCell ref="H79:I79"/>
    <mergeCell ref="H80:I80"/>
    <mergeCell ref="H81:I81"/>
    <mergeCell ref="H82:I82"/>
    <mergeCell ref="H89:I89"/>
    <mergeCell ref="H90:I90"/>
    <mergeCell ref="I74:J74"/>
    <mergeCell ref="B78:C78"/>
    <mergeCell ref="D78:E78"/>
    <mergeCell ref="D81:E81"/>
    <mergeCell ref="D82:E82"/>
    <mergeCell ref="B79:C79"/>
    <mergeCell ref="B81:C81"/>
    <mergeCell ref="B82:C82"/>
    <mergeCell ref="D79:E79"/>
    <mergeCell ref="F78:G78"/>
    <mergeCell ref="D77:G77"/>
    <mergeCell ref="B80:C80"/>
    <mergeCell ref="D80:E80"/>
    <mergeCell ref="F80:G80"/>
    <mergeCell ref="H83:I83"/>
    <mergeCell ref="H84:I84"/>
    <mergeCell ref="H85:I85"/>
  </mergeCells>
  <printOptions/>
  <pageMargins left="0.7" right="0.7" top="0.75" bottom="0.75" header="0.3" footer="0.3"/>
  <pageSetup horizontalDpi="600" verticalDpi="600" orientation="portrait" paperSize="9" r:id="rId9"/>
  <legacyDrawing r:id="rId2"/>
  <tableParts>
    <tablePart r:id="rId6"/>
    <tablePart r:id="rId8"/>
    <tablePart r:id="rId5"/>
    <tablePart r:id="rId4"/>
    <tablePart r:id="rId3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6"/>
  <sheetViews>
    <sheetView workbookViewId="0" topLeftCell="A1">
      <selection activeCell="O5" sqref="O5"/>
    </sheetView>
  </sheetViews>
  <sheetFormatPr defaultColWidth="11.421875" defaultRowHeight="15"/>
  <cols>
    <col min="2" max="2" width="22.421875" style="0" bestFit="1" customWidth="1"/>
    <col min="3" max="5" width="12.421875" style="143" customWidth="1"/>
    <col min="6" max="6" width="11.421875" style="143" customWidth="1"/>
  </cols>
  <sheetData>
    <row r="2" spans="2:6" ht="23.25">
      <c r="B2" s="2" t="s">
        <v>35</v>
      </c>
      <c r="C2" s="2"/>
      <c r="D2" s="2"/>
      <c r="E2" s="2"/>
      <c r="F2" s="2"/>
    </row>
    <row r="4" spans="2:14" ht="15">
      <c r="B4" s="13" t="s">
        <v>34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5" t="s">
        <v>11</v>
      </c>
      <c r="N4" s="15" t="s">
        <v>397</v>
      </c>
    </row>
    <row r="5" spans="2:14" ht="15">
      <c r="B5" s="16" t="s">
        <v>2</v>
      </c>
      <c r="C5" s="17">
        <f>C7-C6</f>
        <v>1282269</v>
      </c>
      <c r="D5" s="17">
        <f aca="true" t="shared" si="0" ref="D5:N5">D7-D6</f>
        <v>1017736</v>
      </c>
      <c r="E5" s="17">
        <f t="shared" si="0"/>
        <v>970365</v>
      </c>
      <c r="F5" s="17">
        <f t="shared" si="0"/>
        <v>819359</v>
      </c>
      <c r="G5" s="17">
        <f t="shared" si="0"/>
        <v>1270407</v>
      </c>
      <c r="H5" s="17">
        <f t="shared" si="0"/>
        <v>739647</v>
      </c>
      <c r="I5" s="17">
        <f t="shared" si="0"/>
        <v>749232.8300000001</v>
      </c>
      <c r="J5" s="17">
        <f t="shared" si="0"/>
        <v>664518</v>
      </c>
      <c r="K5" s="17">
        <f t="shared" si="0"/>
        <v>542755</v>
      </c>
      <c r="L5" s="17">
        <f t="shared" si="0"/>
        <v>431726.5499999998</v>
      </c>
      <c r="M5" s="17">
        <f t="shared" si="0"/>
        <v>355799</v>
      </c>
      <c r="N5" s="17">
        <f t="shared" si="0"/>
        <v>301529</v>
      </c>
    </row>
    <row r="6" spans="2:14" ht="15.75" thickBot="1">
      <c r="B6" s="16" t="s">
        <v>50</v>
      </c>
      <c r="C6" s="114">
        <v>395518</v>
      </c>
      <c r="D6" s="114">
        <v>314338</v>
      </c>
      <c r="E6" s="114">
        <v>463873</v>
      </c>
      <c r="F6" s="114">
        <v>607941</v>
      </c>
      <c r="G6" s="114">
        <v>486276</v>
      </c>
      <c r="H6" s="114">
        <v>833301</v>
      </c>
      <c r="I6" s="114">
        <v>1137495</v>
      </c>
      <c r="J6" s="114">
        <v>1250293</v>
      </c>
      <c r="K6" s="114">
        <v>1360275</v>
      </c>
      <c r="L6" s="114">
        <v>1326306.85</v>
      </c>
      <c r="M6" s="114">
        <v>1306275</v>
      </c>
      <c r="N6" s="114">
        <v>1370054</v>
      </c>
    </row>
    <row r="7" spans="2:14" ht="15.75" thickTop="1">
      <c r="B7" s="5" t="s">
        <v>12</v>
      </c>
      <c r="C7" s="235">
        <v>1677787</v>
      </c>
      <c r="D7" s="235">
        <v>1332074</v>
      </c>
      <c r="E7" s="235">
        <v>1434238</v>
      </c>
      <c r="F7" s="235">
        <v>1427300</v>
      </c>
      <c r="G7" s="235">
        <v>1756683</v>
      </c>
      <c r="H7" s="235">
        <v>1572948</v>
      </c>
      <c r="I7" s="235">
        <v>1886727.83</v>
      </c>
      <c r="J7" s="235">
        <v>1914811</v>
      </c>
      <c r="K7" s="235">
        <v>1903030</v>
      </c>
      <c r="L7" s="235">
        <v>1758033.4</v>
      </c>
      <c r="M7" s="235">
        <v>1662074</v>
      </c>
      <c r="N7" s="235">
        <v>1671583</v>
      </c>
    </row>
    <row r="8" spans="2:13" s="182" customFormat="1" ht="15">
      <c r="B8" s="16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3" s="182" customFormat="1" ht="15">
      <c r="B9" s="16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ht="15"/>
    <row r="28" ht="15"/>
    <row r="31" spans="2:13" ht="23.25">
      <c r="B31" s="2" t="s">
        <v>369</v>
      </c>
      <c r="C31" s="2"/>
      <c r="D31" s="2"/>
      <c r="E31" s="2"/>
      <c r="F31" s="2"/>
      <c r="G31" s="205"/>
      <c r="H31" s="205"/>
      <c r="I31" s="205"/>
      <c r="J31" s="205"/>
      <c r="K31" s="205"/>
      <c r="L31" s="205"/>
      <c r="M31" s="205"/>
    </row>
    <row r="32" spans="2:13" ht="15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2:14" ht="15">
      <c r="B33" s="13" t="s">
        <v>34</v>
      </c>
      <c r="C33" s="14">
        <v>2001</v>
      </c>
      <c r="D33" s="14">
        <v>2002</v>
      </c>
      <c r="E33" s="14">
        <v>2003</v>
      </c>
      <c r="F33" s="14">
        <v>2004</v>
      </c>
      <c r="G33" s="14">
        <v>2005</v>
      </c>
      <c r="H33" s="14">
        <v>2006</v>
      </c>
      <c r="I33" s="14">
        <v>2007</v>
      </c>
      <c r="J33" s="14" t="s">
        <v>8</v>
      </c>
      <c r="K33" s="14" t="s">
        <v>9</v>
      </c>
      <c r="L33" s="14" t="s">
        <v>10</v>
      </c>
      <c r="M33" s="14">
        <v>2011</v>
      </c>
      <c r="N33" s="14">
        <v>2012</v>
      </c>
    </row>
    <row r="34" spans="2:14" ht="15">
      <c r="B34" s="16" t="s">
        <v>2</v>
      </c>
      <c r="C34" s="17">
        <f>C36-C35</f>
        <v>1416145</v>
      </c>
      <c r="D34" s="17">
        <f aca="true" t="shared" si="1" ref="D34:N34">D36-D35</f>
        <v>1449967</v>
      </c>
      <c r="E34" s="17">
        <f t="shared" si="1"/>
        <v>1382058</v>
      </c>
      <c r="F34" s="17">
        <f t="shared" si="1"/>
        <v>1303437</v>
      </c>
      <c r="G34" s="17">
        <f t="shared" si="1"/>
        <v>1296104</v>
      </c>
      <c r="H34" s="17">
        <f t="shared" si="1"/>
        <v>1266682</v>
      </c>
      <c r="I34" s="17">
        <f t="shared" si="1"/>
        <v>1274294</v>
      </c>
      <c r="J34" s="17">
        <f t="shared" si="1"/>
        <v>1238675</v>
      </c>
      <c r="K34" s="17">
        <f t="shared" si="1"/>
        <v>1073476</v>
      </c>
      <c r="L34" s="17">
        <f t="shared" si="1"/>
        <v>984284</v>
      </c>
      <c r="M34" s="17">
        <f t="shared" si="1"/>
        <v>856654</v>
      </c>
      <c r="N34" s="17">
        <f t="shared" si="1"/>
        <v>680104</v>
      </c>
    </row>
    <row r="35" spans="2:14" ht="15.75" thickBot="1">
      <c r="B35" s="16" t="s">
        <v>50</v>
      </c>
      <c r="C35" s="17">
        <v>226876</v>
      </c>
      <c r="D35" s="17">
        <v>281701</v>
      </c>
      <c r="E35" s="17">
        <v>429894</v>
      </c>
      <c r="F35" s="17">
        <v>534783</v>
      </c>
      <c r="G35" s="17">
        <v>686565</v>
      </c>
      <c r="H35" s="17">
        <v>811655</v>
      </c>
      <c r="I35" s="17">
        <v>895544</v>
      </c>
      <c r="J35" s="17">
        <v>1048062</v>
      </c>
      <c r="K35" s="17">
        <v>1231728</v>
      </c>
      <c r="L35" s="17">
        <v>1231708</v>
      </c>
      <c r="M35" s="17">
        <v>1228297</v>
      </c>
      <c r="N35" s="17">
        <v>1266502</v>
      </c>
    </row>
    <row r="36" spans="2:14" ht="15.75" thickTop="1">
      <c r="B36" s="5" t="s">
        <v>12</v>
      </c>
      <c r="C36" s="6">
        <v>1643021</v>
      </c>
      <c r="D36" s="6">
        <v>1731668</v>
      </c>
      <c r="E36" s="6">
        <v>1811952</v>
      </c>
      <c r="F36" s="6">
        <v>1838220</v>
      </c>
      <c r="G36" s="6">
        <v>1982669</v>
      </c>
      <c r="H36" s="6">
        <v>2078337</v>
      </c>
      <c r="I36" s="6">
        <v>2169838</v>
      </c>
      <c r="J36" s="6">
        <v>2286737</v>
      </c>
      <c r="K36" s="6">
        <v>2305204</v>
      </c>
      <c r="L36" s="6">
        <v>2215992</v>
      </c>
      <c r="M36" s="6">
        <v>2084951</v>
      </c>
      <c r="N36" s="6">
        <v>1946606</v>
      </c>
    </row>
  </sheetData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74"/>
  <sheetViews>
    <sheetView workbookViewId="0" topLeftCell="A1">
      <selection activeCell="Q69" sqref="Q69"/>
    </sheetView>
  </sheetViews>
  <sheetFormatPr defaultColWidth="11.421875" defaultRowHeight="15"/>
  <cols>
    <col min="2" max="2" width="54.140625" style="0" customWidth="1"/>
    <col min="3" max="3" width="13.7109375" style="170" customWidth="1"/>
    <col min="4" max="4" width="9.421875" style="170" customWidth="1"/>
    <col min="5" max="5" width="10.140625" style="170" customWidth="1"/>
    <col min="6" max="6" width="8.140625" style="143" customWidth="1"/>
    <col min="7" max="7" width="9.00390625" style="143" customWidth="1"/>
    <col min="8" max="8" width="8.421875" style="143" customWidth="1"/>
    <col min="9" max="9" width="7.7109375" style="143" customWidth="1"/>
    <col min="14" max="14" width="11.421875" style="218" customWidth="1"/>
    <col min="17" max="17" width="36.140625" style="0" customWidth="1"/>
    <col min="18" max="23" width="12.28125" style="143" customWidth="1"/>
    <col min="24" max="24" width="11.28125" style="143" customWidth="1"/>
  </cols>
  <sheetData>
    <row r="2" spans="2:9" ht="23.25">
      <c r="B2" s="2" t="s">
        <v>0</v>
      </c>
      <c r="C2" s="2"/>
      <c r="D2" s="2"/>
      <c r="E2" s="2"/>
      <c r="F2" s="2"/>
      <c r="G2" s="2"/>
      <c r="H2" s="2"/>
      <c r="I2" s="2"/>
    </row>
    <row r="4" spans="2:16" ht="15">
      <c r="B4" s="13" t="s">
        <v>1</v>
      </c>
      <c r="C4" s="14">
        <v>2001</v>
      </c>
      <c r="D4" s="14">
        <v>2002</v>
      </c>
      <c r="E4" s="14">
        <v>2003</v>
      </c>
      <c r="F4" s="14">
        <v>2004</v>
      </c>
      <c r="G4" s="14">
        <v>2005</v>
      </c>
      <c r="H4" s="14">
        <v>2006</v>
      </c>
      <c r="I4" s="14">
        <v>2007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397</v>
      </c>
      <c r="O4" s="15" t="s">
        <v>3</v>
      </c>
      <c r="P4" s="1"/>
    </row>
    <row r="5" spans="2:16" ht="15">
      <c r="B5" s="16" t="s">
        <v>4</v>
      </c>
      <c r="C5" s="144">
        <v>443</v>
      </c>
      <c r="D5" s="144">
        <v>555</v>
      </c>
      <c r="E5" s="144">
        <v>696</v>
      </c>
      <c r="F5" s="144">
        <v>937</v>
      </c>
      <c r="G5" s="144">
        <v>1110</v>
      </c>
      <c r="H5" s="144">
        <v>1243</v>
      </c>
      <c r="I5" s="144">
        <v>1503</v>
      </c>
      <c r="J5" s="17">
        <v>1567</v>
      </c>
      <c r="K5" s="17">
        <v>1834</v>
      </c>
      <c r="L5" s="17">
        <v>1891</v>
      </c>
      <c r="M5" s="17">
        <v>2151</v>
      </c>
      <c r="N5" s="17">
        <v>2118</v>
      </c>
      <c r="O5" s="18">
        <f>SUM(BBDD!C5:N5)</f>
        <v>16048</v>
      </c>
      <c r="P5" s="3"/>
    </row>
    <row r="6" spans="2:16" ht="15">
      <c r="B6" s="19" t="s">
        <v>5</v>
      </c>
      <c r="C6" s="145">
        <v>10</v>
      </c>
      <c r="D6" s="145">
        <v>17</v>
      </c>
      <c r="E6" s="145">
        <v>11</v>
      </c>
      <c r="F6" s="145">
        <v>16</v>
      </c>
      <c r="G6" s="145">
        <v>15</v>
      </c>
      <c r="H6" s="145">
        <v>6</v>
      </c>
      <c r="I6" s="145">
        <v>21</v>
      </c>
      <c r="J6" s="20">
        <v>22</v>
      </c>
      <c r="K6" s="20">
        <v>28</v>
      </c>
      <c r="L6" s="20">
        <v>48</v>
      </c>
      <c r="M6" s="20">
        <v>51</v>
      </c>
      <c r="N6" s="30">
        <v>61</v>
      </c>
      <c r="O6" s="18">
        <f>SUM(BBDD!C6:N6)</f>
        <v>306</v>
      </c>
      <c r="P6" s="3"/>
    </row>
    <row r="7" spans="2:16" ht="15">
      <c r="B7" s="240" t="s">
        <v>6</v>
      </c>
      <c r="C7" s="144">
        <v>34</v>
      </c>
      <c r="D7" s="144">
        <v>20</v>
      </c>
      <c r="E7" s="144">
        <v>42</v>
      </c>
      <c r="F7" s="144">
        <v>36</v>
      </c>
      <c r="G7" s="144">
        <v>44</v>
      </c>
      <c r="H7" s="144">
        <v>56</v>
      </c>
      <c r="I7" s="144">
        <v>69</v>
      </c>
      <c r="J7" s="17">
        <v>67</v>
      </c>
      <c r="K7" s="17">
        <v>71</v>
      </c>
      <c r="L7" s="17">
        <v>63</v>
      </c>
      <c r="M7" s="17">
        <v>83</v>
      </c>
      <c r="N7" s="17">
        <v>85</v>
      </c>
      <c r="O7" s="18">
        <f>SUM(BBDD!C7:N7)</f>
        <v>670</v>
      </c>
      <c r="P7" s="3"/>
    </row>
    <row r="8" spans="2:16" s="222" customFormat="1" ht="15">
      <c r="B8" s="239" t="s">
        <v>404</v>
      </c>
      <c r="C8" s="237">
        <v>0</v>
      </c>
      <c r="D8" s="237">
        <v>0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8">
        <v>0</v>
      </c>
      <c r="K8" s="238">
        <v>0</v>
      </c>
      <c r="L8" s="238">
        <v>5</v>
      </c>
      <c r="M8" s="238">
        <v>15</v>
      </c>
      <c r="N8" s="238">
        <v>24</v>
      </c>
      <c r="O8" s="18">
        <f>SUM(BBDD!C8:N8)</f>
        <v>44</v>
      </c>
      <c r="P8" s="3"/>
    </row>
    <row r="9" spans="2:16" ht="15.75" thickBot="1">
      <c r="B9" s="241" t="s">
        <v>7</v>
      </c>
      <c r="C9" s="146">
        <v>0</v>
      </c>
      <c r="D9" s="146">
        <v>0</v>
      </c>
      <c r="E9" s="146">
        <v>2</v>
      </c>
      <c r="F9" s="146">
        <v>0</v>
      </c>
      <c r="G9" s="146">
        <v>1</v>
      </c>
      <c r="H9" s="146">
        <v>5</v>
      </c>
      <c r="I9" s="77">
        <v>9</v>
      </c>
      <c r="J9" s="30">
        <v>15</v>
      </c>
      <c r="K9" s="30">
        <v>15</v>
      </c>
      <c r="L9" s="30">
        <v>6</v>
      </c>
      <c r="M9" s="30">
        <v>15</v>
      </c>
      <c r="N9" s="30">
        <v>26</v>
      </c>
      <c r="O9" s="18">
        <f>SUM(BBDD!C9:N9)</f>
        <v>94</v>
      </c>
      <c r="P9" s="3"/>
    </row>
    <row r="10" spans="2:16" ht="15.75" thickTop="1">
      <c r="B10" s="5" t="s">
        <v>12</v>
      </c>
      <c r="C10" s="154">
        <f aca="true" t="shared" si="0" ref="C10:E10">SUM(C5:C9)</f>
        <v>487</v>
      </c>
      <c r="D10" s="154">
        <f t="shared" si="0"/>
        <v>592</v>
      </c>
      <c r="E10" s="154">
        <f t="shared" si="0"/>
        <v>751</v>
      </c>
      <c r="F10" s="154">
        <f>SUM(F5:F9)</f>
        <v>989</v>
      </c>
      <c r="G10" s="154">
        <f aca="true" t="shared" si="1" ref="G10:N10">SUM(G5:G9)</f>
        <v>1170</v>
      </c>
      <c r="H10" s="154">
        <f t="shared" si="1"/>
        <v>1310</v>
      </c>
      <c r="I10" s="154">
        <f t="shared" si="1"/>
        <v>1602</v>
      </c>
      <c r="J10" s="154">
        <f t="shared" si="1"/>
        <v>1671</v>
      </c>
      <c r="K10" s="154">
        <f t="shared" si="1"/>
        <v>1948</v>
      </c>
      <c r="L10" s="154">
        <f t="shared" si="1"/>
        <v>2013</v>
      </c>
      <c r="M10" s="154">
        <f t="shared" si="1"/>
        <v>2315</v>
      </c>
      <c r="N10" s="154">
        <f t="shared" si="1"/>
        <v>2314</v>
      </c>
      <c r="O10" s="154">
        <f>SUM(BBDD!C10:M10)</f>
        <v>14848</v>
      </c>
      <c r="P10" s="3"/>
    </row>
    <row r="13" spans="2:9" ht="23.25">
      <c r="B13" s="2" t="s">
        <v>13</v>
      </c>
      <c r="C13" s="2"/>
      <c r="D13" s="2"/>
      <c r="E13" s="2"/>
      <c r="F13" s="2"/>
      <c r="G13" s="2"/>
      <c r="H13" s="2"/>
      <c r="I13" s="2"/>
    </row>
    <row r="15" spans="2:16" ht="15">
      <c r="B15" s="31" t="s">
        <v>1</v>
      </c>
      <c r="C15" s="32">
        <v>2001</v>
      </c>
      <c r="D15" s="32">
        <v>2002</v>
      </c>
      <c r="E15" s="32">
        <v>2003</v>
      </c>
      <c r="F15" s="32">
        <v>2004</v>
      </c>
      <c r="G15" s="32">
        <v>2005</v>
      </c>
      <c r="H15" s="32">
        <v>2006</v>
      </c>
      <c r="I15" s="32">
        <v>2007</v>
      </c>
      <c r="J15" s="32" t="s">
        <v>8</v>
      </c>
      <c r="K15" s="32" t="s">
        <v>9</v>
      </c>
      <c r="L15" s="32" t="s">
        <v>10</v>
      </c>
      <c r="M15" s="32" t="s">
        <v>11</v>
      </c>
      <c r="N15" s="32" t="s">
        <v>397</v>
      </c>
      <c r="O15" s="33" t="s">
        <v>3</v>
      </c>
      <c r="P15" s="1"/>
    </row>
    <row r="16" spans="2:16" ht="15">
      <c r="B16" s="34" t="s">
        <v>14</v>
      </c>
      <c r="C16" s="155"/>
      <c r="D16" s="155"/>
      <c r="E16" s="155"/>
      <c r="F16" s="155"/>
      <c r="G16" s="155"/>
      <c r="H16" s="155"/>
      <c r="I16" s="155"/>
      <c r="J16" s="35">
        <v>79</v>
      </c>
      <c r="K16" s="35">
        <v>56</v>
      </c>
      <c r="L16" s="35">
        <v>79</v>
      </c>
      <c r="M16" s="35">
        <v>224</v>
      </c>
      <c r="N16" s="35"/>
      <c r="O16" s="36">
        <f>SUM(BBDD!F16:M16)</f>
        <v>438</v>
      </c>
      <c r="P16" s="3"/>
    </row>
    <row r="17" spans="2:16" ht="15">
      <c r="B17" s="37" t="s">
        <v>15</v>
      </c>
      <c r="C17" s="156"/>
      <c r="D17" s="156"/>
      <c r="E17" s="156"/>
      <c r="F17" s="156"/>
      <c r="G17" s="156"/>
      <c r="H17" s="156"/>
      <c r="I17" s="156"/>
      <c r="J17" s="38">
        <v>241</v>
      </c>
      <c r="K17" s="38">
        <v>11</v>
      </c>
      <c r="L17" s="38">
        <v>3</v>
      </c>
      <c r="M17" s="38">
        <v>9</v>
      </c>
      <c r="N17" s="38"/>
      <c r="O17" s="38">
        <f>SUM(BBDD!F17:M17)</f>
        <v>264</v>
      </c>
      <c r="P17" s="3"/>
    </row>
    <row r="18" spans="2:16" ht="15">
      <c r="B18" s="34" t="s">
        <v>16</v>
      </c>
      <c r="C18" s="155"/>
      <c r="D18" s="155"/>
      <c r="E18" s="155"/>
      <c r="F18" s="155"/>
      <c r="G18" s="155"/>
      <c r="H18" s="155"/>
      <c r="I18" s="155"/>
      <c r="J18" s="35">
        <v>20</v>
      </c>
      <c r="K18" s="35">
        <v>28</v>
      </c>
      <c r="L18" s="35">
        <v>29</v>
      </c>
      <c r="M18" s="35">
        <v>20</v>
      </c>
      <c r="N18" s="35"/>
      <c r="O18" s="36">
        <f>SUM(BBDD!F18:M18)</f>
        <v>97</v>
      </c>
      <c r="P18" s="3"/>
    </row>
    <row r="19" spans="2:16" ht="15">
      <c r="B19" s="37" t="s">
        <v>18</v>
      </c>
      <c r="C19" s="156"/>
      <c r="D19" s="156"/>
      <c r="E19" s="156"/>
      <c r="F19" s="156"/>
      <c r="G19" s="156"/>
      <c r="H19" s="156"/>
      <c r="I19" s="156"/>
      <c r="J19" s="38">
        <v>19</v>
      </c>
      <c r="K19" s="38">
        <v>21</v>
      </c>
      <c r="L19" s="38">
        <v>115</v>
      </c>
      <c r="M19" s="38">
        <v>15</v>
      </c>
      <c r="N19" s="38"/>
      <c r="O19" s="38">
        <f>SUM(BBDD!F19:M19)</f>
        <v>170</v>
      </c>
      <c r="P19" s="3"/>
    </row>
    <row r="20" spans="2:16" ht="15">
      <c r="B20" s="34" t="s">
        <v>19</v>
      </c>
      <c r="C20" s="155"/>
      <c r="D20" s="155"/>
      <c r="E20" s="155"/>
      <c r="F20" s="155"/>
      <c r="G20" s="155"/>
      <c r="H20" s="155"/>
      <c r="I20" s="155"/>
      <c r="J20" s="35">
        <v>76</v>
      </c>
      <c r="K20" s="35">
        <v>0</v>
      </c>
      <c r="L20" s="35">
        <v>0</v>
      </c>
      <c r="M20" s="35">
        <v>0</v>
      </c>
      <c r="N20" s="35"/>
      <c r="O20" s="36">
        <f>SUM(BBDD!F20:M20)</f>
        <v>76</v>
      </c>
      <c r="P20" s="3"/>
    </row>
    <row r="21" spans="2:16" ht="15">
      <c r="B21" s="37" t="s">
        <v>20</v>
      </c>
      <c r="C21" s="156"/>
      <c r="D21" s="156"/>
      <c r="E21" s="156"/>
      <c r="F21" s="156"/>
      <c r="G21" s="156"/>
      <c r="H21" s="156"/>
      <c r="I21" s="156"/>
      <c r="J21" s="38">
        <v>3</v>
      </c>
      <c r="K21" s="38">
        <v>18</v>
      </c>
      <c r="L21" s="38">
        <v>28</v>
      </c>
      <c r="M21" s="38">
        <v>19</v>
      </c>
      <c r="N21" s="38"/>
      <c r="O21" s="38">
        <f>SUM(BBDD!F21:M21)</f>
        <v>68</v>
      </c>
      <c r="P21" s="3"/>
    </row>
    <row r="22" spans="2:16" ht="15">
      <c r="B22" s="34" t="s">
        <v>28</v>
      </c>
      <c r="C22" s="155"/>
      <c r="D22" s="155"/>
      <c r="E22" s="155"/>
      <c r="F22" s="155"/>
      <c r="G22" s="155"/>
      <c r="H22" s="155"/>
      <c r="I22" s="155"/>
      <c r="J22" s="35">
        <v>12</v>
      </c>
      <c r="K22" s="35">
        <v>25</v>
      </c>
      <c r="L22" s="35">
        <v>24</v>
      </c>
      <c r="M22" s="35">
        <v>27</v>
      </c>
      <c r="N22" s="35"/>
      <c r="O22" s="36">
        <f>SUM(BBDD!F22:M22)</f>
        <v>88</v>
      </c>
      <c r="P22" s="3"/>
    </row>
    <row r="23" spans="2:16" ht="15">
      <c r="B23" s="37" t="s">
        <v>23</v>
      </c>
      <c r="C23" s="156"/>
      <c r="D23" s="156"/>
      <c r="E23" s="156"/>
      <c r="F23" s="156"/>
      <c r="G23" s="156"/>
      <c r="H23" s="156"/>
      <c r="I23" s="156"/>
      <c r="J23" s="38">
        <v>6</v>
      </c>
      <c r="K23" s="38">
        <v>13</v>
      </c>
      <c r="L23" s="38">
        <v>21</v>
      </c>
      <c r="M23" s="38">
        <v>15</v>
      </c>
      <c r="N23" s="38"/>
      <c r="O23" s="38">
        <f>SUM(BBDD!F23:M23)</f>
        <v>55</v>
      </c>
      <c r="P23" s="3"/>
    </row>
    <row r="24" spans="2:16" ht="15">
      <c r="B24" s="34" t="s">
        <v>22</v>
      </c>
      <c r="C24" s="155"/>
      <c r="D24" s="155"/>
      <c r="E24" s="155"/>
      <c r="F24" s="155"/>
      <c r="G24" s="155"/>
      <c r="H24" s="155"/>
      <c r="I24" s="155"/>
      <c r="J24" s="35">
        <v>14</v>
      </c>
      <c r="K24" s="35">
        <v>17</v>
      </c>
      <c r="L24" s="35">
        <v>12</v>
      </c>
      <c r="M24" s="35">
        <v>15</v>
      </c>
      <c r="N24" s="35"/>
      <c r="O24" s="36">
        <f>SUM(BBDD!F24:M24)</f>
        <v>58</v>
      </c>
      <c r="P24" s="3"/>
    </row>
    <row r="25" spans="2:16" ht="15">
      <c r="B25" s="37" t="s">
        <v>21</v>
      </c>
      <c r="C25" s="156"/>
      <c r="D25" s="156"/>
      <c r="E25" s="156"/>
      <c r="F25" s="156"/>
      <c r="G25" s="156"/>
      <c r="H25" s="156"/>
      <c r="I25" s="156"/>
      <c r="J25" s="38">
        <v>9</v>
      </c>
      <c r="K25" s="38">
        <v>22</v>
      </c>
      <c r="L25" s="38">
        <v>18</v>
      </c>
      <c r="M25" s="38">
        <v>15</v>
      </c>
      <c r="N25" s="38"/>
      <c r="O25" s="38">
        <f>SUM(BBDD!F25:M25)</f>
        <v>64</v>
      </c>
      <c r="P25" s="3"/>
    </row>
    <row r="26" spans="2:16" ht="15">
      <c r="B26" s="34" t="s">
        <v>17</v>
      </c>
      <c r="C26" s="155"/>
      <c r="D26" s="155"/>
      <c r="E26" s="155"/>
      <c r="F26" s="155"/>
      <c r="G26" s="155"/>
      <c r="H26" s="155"/>
      <c r="I26" s="155"/>
      <c r="J26" s="35">
        <v>17</v>
      </c>
      <c r="K26" s="35">
        <v>21</v>
      </c>
      <c r="L26" s="35">
        <v>26</v>
      </c>
      <c r="M26" s="35">
        <v>17</v>
      </c>
      <c r="N26" s="35"/>
      <c r="O26" s="36">
        <f>SUM(BBDD!F26:M26)</f>
        <v>81</v>
      </c>
      <c r="P26" s="3"/>
    </row>
    <row r="27" spans="2:16" ht="15">
      <c r="B27" s="37" t="s">
        <v>24</v>
      </c>
      <c r="C27" s="156"/>
      <c r="D27" s="156"/>
      <c r="E27" s="156"/>
      <c r="F27" s="156"/>
      <c r="G27" s="156"/>
      <c r="H27" s="156"/>
      <c r="I27" s="156"/>
      <c r="J27" s="38">
        <v>0</v>
      </c>
      <c r="K27" s="38">
        <v>40</v>
      </c>
      <c r="L27" s="38">
        <v>7</v>
      </c>
      <c r="M27" s="38">
        <v>4</v>
      </c>
      <c r="N27" s="38"/>
      <c r="O27" s="38">
        <f>SUM(BBDD!F27:M27)</f>
        <v>51</v>
      </c>
      <c r="P27" s="3"/>
    </row>
    <row r="28" spans="2:16" ht="15">
      <c r="B28" s="34" t="s">
        <v>25</v>
      </c>
      <c r="C28" s="155"/>
      <c r="D28" s="155"/>
      <c r="E28" s="155"/>
      <c r="F28" s="155"/>
      <c r="G28" s="155"/>
      <c r="H28" s="155"/>
      <c r="I28" s="155"/>
      <c r="J28" s="35">
        <v>1</v>
      </c>
      <c r="K28" s="35">
        <v>8</v>
      </c>
      <c r="L28" s="35">
        <v>23</v>
      </c>
      <c r="M28" s="35">
        <v>18</v>
      </c>
      <c r="N28" s="35"/>
      <c r="O28" s="36">
        <f>SUM(BBDD!F28:M28)</f>
        <v>50</v>
      </c>
      <c r="P28" s="3"/>
    </row>
    <row r="29" spans="2:16" ht="15">
      <c r="B29" s="37" t="s">
        <v>26</v>
      </c>
      <c r="C29" s="156"/>
      <c r="D29" s="156"/>
      <c r="E29" s="156"/>
      <c r="F29" s="156"/>
      <c r="G29" s="156"/>
      <c r="H29" s="156"/>
      <c r="I29" s="156"/>
      <c r="J29" s="38">
        <v>8</v>
      </c>
      <c r="K29" s="38">
        <v>14</v>
      </c>
      <c r="L29" s="38">
        <v>11</v>
      </c>
      <c r="M29" s="38">
        <v>27</v>
      </c>
      <c r="N29" s="38"/>
      <c r="O29" s="38">
        <f>SUM(BBDD!F29:M29)</f>
        <v>60</v>
      </c>
      <c r="P29" s="3"/>
    </row>
    <row r="30" spans="2:16" ht="15">
      <c r="B30" s="34" t="s">
        <v>29</v>
      </c>
      <c r="C30" s="155"/>
      <c r="D30" s="155"/>
      <c r="E30" s="155"/>
      <c r="F30" s="155"/>
      <c r="G30" s="155"/>
      <c r="H30" s="155"/>
      <c r="I30" s="155"/>
      <c r="J30" s="35">
        <v>8</v>
      </c>
      <c r="K30" s="35">
        <v>15</v>
      </c>
      <c r="L30" s="35">
        <v>10</v>
      </c>
      <c r="M30" s="35">
        <v>13</v>
      </c>
      <c r="N30" s="35"/>
      <c r="O30" s="36">
        <f>SUM(BBDD!F30:M30)</f>
        <v>46</v>
      </c>
      <c r="P30" s="3"/>
    </row>
    <row r="31" spans="2:16" ht="15.75" thickBot="1">
      <c r="B31" s="39" t="s">
        <v>27</v>
      </c>
      <c r="C31" s="146"/>
      <c r="D31" s="146"/>
      <c r="E31" s="146"/>
      <c r="F31" s="146"/>
      <c r="G31" s="146"/>
      <c r="H31" s="146"/>
      <c r="I31" s="146"/>
      <c r="J31" s="30">
        <v>8</v>
      </c>
      <c r="K31" s="30">
        <v>10</v>
      </c>
      <c r="L31" s="30">
        <v>17</v>
      </c>
      <c r="M31" s="30">
        <v>10</v>
      </c>
      <c r="N31" s="30"/>
      <c r="O31" s="38">
        <f>SUM(BBDD!F31:M31)</f>
        <v>45</v>
      </c>
      <c r="P31" s="3"/>
    </row>
    <row r="32" spans="2:16" ht="15.75" thickTop="1">
      <c r="B32" s="40" t="s">
        <v>12</v>
      </c>
      <c r="C32" s="157"/>
      <c r="D32" s="157"/>
      <c r="E32" s="157"/>
      <c r="F32" s="157"/>
      <c r="G32" s="157"/>
      <c r="H32" s="157"/>
      <c r="I32" s="157"/>
      <c r="J32" s="41">
        <f>SUBTOTAL(109,BBDD!$J$16:$J$31)</f>
        <v>521</v>
      </c>
      <c r="K32" s="41">
        <f>SUBTOTAL(109,BBDD!$K$16:$K$31)</f>
        <v>319</v>
      </c>
      <c r="L32" s="41">
        <f>SUBTOTAL(109,BBDD!$L$16:$L$31)</f>
        <v>423</v>
      </c>
      <c r="M32" s="41">
        <f>SUBTOTAL(109,BBDD!$M$16:$M$31)</f>
        <v>448</v>
      </c>
      <c r="N32" s="41"/>
      <c r="O32" s="42">
        <f>SUBTOTAL(109,BBDD!$O$16:$O$31)</f>
        <v>1711</v>
      </c>
      <c r="P32" s="3"/>
    </row>
    <row r="35" spans="2:9" ht="23.25">
      <c r="B35" s="2" t="s">
        <v>36</v>
      </c>
      <c r="C35" s="2"/>
      <c r="D35" s="2"/>
      <c r="E35" s="2"/>
      <c r="F35" s="2"/>
      <c r="G35" s="2"/>
      <c r="H35" s="2"/>
      <c r="I35" s="2"/>
    </row>
    <row r="37" spans="2:15" ht="15">
      <c r="B37" s="7" t="s">
        <v>1</v>
      </c>
      <c r="C37" s="8">
        <v>2001</v>
      </c>
      <c r="D37" s="8">
        <v>2002</v>
      </c>
      <c r="E37" s="8">
        <v>2003</v>
      </c>
      <c r="F37" s="8">
        <v>2004</v>
      </c>
      <c r="G37" s="8">
        <v>2005</v>
      </c>
      <c r="H37" s="8">
        <v>2006</v>
      </c>
      <c r="I37" s="8">
        <v>2007</v>
      </c>
      <c r="J37" s="8" t="s">
        <v>8</v>
      </c>
      <c r="K37" s="8" t="s">
        <v>9</v>
      </c>
      <c r="L37" s="8" t="s">
        <v>10</v>
      </c>
      <c r="M37" s="8" t="s">
        <v>11</v>
      </c>
      <c r="N37" s="8" t="s">
        <v>397</v>
      </c>
      <c r="O37" s="9" t="s">
        <v>3</v>
      </c>
    </row>
    <row r="38" spans="2:15" ht="15.75" thickBot="1">
      <c r="B38" s="181" t="s">
        <v>361</v>
      </c>
      <c r="C38" s="183">
        <v>149</v>
      </c>
      <c r="D38" s="183">
        <v>179</v>
      </c>
      <c r="E38" s="183">
        <v>203</v>
      </c>
      <c r="F38" s="161">
        <v>235</v>
      </c>
      <c r="G38" s="161">
        <v>225</v>
      </c>
      <c r="H38" s="161">
        <v>245</v>
      </c>
      <c r="I38" s="161">
        <v>254</v>
      </c>
      <c r="J38" s="53">
        <v>285</v>
      </c>
      <c r="K38" s="53">
        <v>380</v>
      </c>
      <c r="L38" s="53">
        <v>461</v>
      </c>
      <c r="M38" s="53">
        <v>511</v>
      </c>
      <c r="N38" s="53">
        <v>542</v>
      </c>
      <c r="O38" s="54">
        <f>SUM(BBDD!$C38:$N38)</f>
        <v>3669</v>
      </c>
    </row>
    <row r="39" spans="2:15" ht="15.75" thickTop="1">
      <c r="B39" s="12" t="s">
        <v>12</v>
      </c>
      <c r="C39" s="162">
        <f aca="true" t="shared" si="2" ref="C39:E39">C38</f>
        <v>149</v>
      </c>
      <c r="D39" s="162">
        <f t="shared" si="2"/>
        <v>179</v>
      </c>
      <c r="E39" s="162">
        <f t="shared" si="2"/>
        <v>203</v>
      </c>
      <c r="F39" s="162">
        <f>F38</f>
        <v>235</v>
      </c>
      <c r="G39" s="162">
        <f aca="true" t="shared" si="3" ref="G39:O39">G38</f>
        <v>225</v>
      </c>
      <c r="H39" s="162">
        <f t="shared" si="3"/>
        <v>245</v>
      </c>
      <c r="I39" s="162">
        <f t="shared" si="3"/>
        <v>254</v>
      </c>
      <c r="J39" s="162">
        <f t="shared" si="3"/>
        <v>285</v>
      </c>
      <c r="K39" s="162">
        <f t="shared" si="3"/>
        <v>380</v>
      </c>
      <c r="L39" s="162">
        <f t="shared" si="3"/>
        <v>461</v>
      </c>
      <c r="M39" s="162">
        <f t="shared" si="3"/>
        <v>511</v>
      </c>
      <c r="N39" s="162">
        <f t="shared" si="3"/>
        <v>542</v>
      </c>
      <c r="O39" s="162">
        <f t="shared" si="3"/>
        <v>3669</v>
      </c>
    </row>
    <row r="42" spans="2:9" ht="23.25">
      <c r="B42" s="2" t="s">
        <v>47</v>
      </c>
      <c r="C42" s="2"/>
      <c r="D42" s="2"/>
      <c r="E42" s="2"/>
      <c r="F42" s="2"/>
      <c r="G42" s="2"/>
      <c r="H42" s="2"/>
      <c r="I42" s="2"/>
    </row>
    <row r="43" ht="15">
      <c r="Q43" s="142"/>
    </row>
    <row r="44" spans="2:15" ht="15">
      <c r="B44" s="55" t="s">
        <v>1</v>
      </c>
      <c r="C44" s="56">
        <v>2001</v>
      </c>
      <c r="D44" s="56">
        <v>2002</v>
      </c>
      <c r="E44" s="56">
        <v>2003</v>
      </c>
      <c r="F44" s="56">
        <v>2004</v>
      </c>
      <c r="G44" s="56">
        <v>2005</v>
      </c>
      <c r="H44" s="56">
        <v>2006</v>
      </c>
      <c r="I44" s="56">
        <v>2007</v>
      </c>
      <c r="J44" s="56" t="s">
        <v>8</v>
      </c>
      <c r="K44" s="56" t="s">
        <v>9</v>
      </c>
      <c r="L44" s="56" t="s">
        <v>10</v>
      </c>
      <c r="M44" s="57" t="s">
        <v>11</v>
      </c>
      <c r="N44" s="57" t="s">
        <v>397</v>
      </c>
      <c r="O44" s="57" t="s">
        <v>3</v>
      </c>
    </row>
    <row r="45" spans="2:15" ht="15">
      <c r="B45" s="201" t="s">
        <v>38</v>
      </c>
      <c r="C45" s="163">
        <v>536</v>
      </c>
      <c r="D45" s="163">
        <v>596</v>
      </c>
      <c r="E45" s="163">
        <v>731</v>
      </c>
      <c r="F45" s="163">
        <v>866</v>
      </c>
      <c r="G45" s="163">
        <v>987</v>
      </c>
      <c r="H45" s="163">
        <v>1056</v>
      </c>
      <c r="I45" s="163">
        <v>1271</v>
      </c>
      <c r="J45" s="59">
        <v>1355</v>
      </c>
      <c r="K45" s="59">
        <v>1568</v>
      </c>
      <c r="L45" s="59">
        <v>1461</v>
      </c>
      <c r="M45" s="59">
        <v>1739</v>
      </c>
      <c r="N45" s="59">
        <v>1661</v>
      </c>
      <c r="O45" s="60">
        <f>SUM(BBDD!C45:N45)</f>
        <v>13827</v>
      </c>
    </row>
    <row r="46" spans="2:15" ht="15">
      <c r="B46" s="242" t="s">
        <v>39</v>
      </c>
      <c r="C46" s="164">
        <v>14</v>
      </c>
      <c r="D46" s="164">
        <v>14</v>
      </c>
      <c r="E46" s="164">
        <v>21</v>
      </c>
      <c r="F46" s="164">
        <v>25</v>
      </c>
      <c r="G46" s="164">
        <v>31</v>
      </c>
      <c r="H46" s="164">
        <v>23</v>
      </c>
      <c r="I46" s="164">
        <v>27</v>
      </c>
      <c r="J46" s="61">
        <v>18</v>
      </c>
      <c r="K46" s="61">
        <v>19</v>
      </c>
      <c r="L46" s="61">
        <v>19</v>
      </c>
      <c r="M46" s="61">
        <v>20</v>
      </c>
      <c r="N46" s="61">
        <v>17</v>
      </c>
      <c r="O46" s="60">
        <f>SUM(BBDD!C46:N46)</f>
        <v>248</v>
      </c>
    </row>
    <row r="47" spans="2:15" ht="15">
      <c r="B47" s="201" t="s">
        <v>40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59">
        <v>0</v>
      </c>
      <c r="K47" s="59">
        <v>0</v>
      </c>
      <c r="L47" s="59">
        <v>1</v>
      </c>
      <c r="M47" s="59">
        <v>0</v>
      </c>
      <c r="N47" s="59">
        <v>1</v>
      </c>
      <c r="O47" s="60">
        <f>SUM(BBDD!C47:N47)</f>
        <v>2</v>
      </c>
    </row>
    <row r="48" spans="2:15" ht="15.75" thickBot="1">
      <c r="B48" s="62" t="s">
        <v>41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1</v>
      </c>
      <c r="J48" s="63">
        <v>0</v>
      </c>
      <c r="K48" s="63">
        <v>2</v>
      </c>
      <c r="L48" s="63">
        <v>0</v>
      </c>
      <c r="M48" s="63">
        <v>1</v>
      </c>
      <c r="N48" s="63">
        <v>1</v>
      </c>
      <c r="O48" s="60">
        <f>SUM(BBDD!C48:N48)</f>
        <v>5</v>
      </c>
    </row>
    <row r="49" spans="2:15" ht="15.75" thickTop="1">
      <c r="B49" s="190" t="s">
        <v>12</v>
      </c>
      <c r="C49" s="191">
        <f aca="true" t="shared" si="4" ref="C49:E49">SUM(C45:C48)</f>
        <v>550</v>
      </c>
      <c r="D49" s="191">
        <f t="shared" si="4"/>
        <v>610</v>
      </c>
      <c r="E49" s="191">
        <f t="shared" si="4"/>
        <v>752</v>
      </c>
      <c r="F49" s="191">
        <f>SUM(F45:F48)</f>
        <v>891</v>
      </c>
      <c r="G49" s="191">
        <f aca="true" t="shared" si="5" ref="G49:O49">SUM(G45:G48)</f>
        <v>1018</v>
      </c>
      <c r="H49" s="191">
        <f t="shared" si="5"/>
        <v>1079</v>
      </c>
      <c r="I49" s="191">
        <f t="shared" si="5"/>
        <v>1299</v>
      </c>
      <c r="J49" s="191">
        <f t="shared" si="5"/>
        <v>1373</v>
      </c>
      <c r="K49" s="191">
        <f t="shared" si="5"/>
        <v>1589</v>
      </c>
      <c r="L49" s="191">
        <f t="shared" si="5"/>
        <v>1481</v>
      </c>
      <c r="M49" s="191">
        <f t="shared" si="5"/>
        <v>1760</v>
      </c>
      <c r="N49" s="191">
        <f t="shared" si="5"/>
        <v>1680</v>
      </c>
      <c r="O49" s="191">
        <f t="shared" si="5"/>
        <v>14082</v>
      </c>
    </row>
    <row r="50" spans="2:15" ht="15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2" spans="2:9" ht="23.25">
      <c r="B52" s="2" t="s">
        <v>42</v>
      </c>
      <c r="C52" s="2"/>
      <c r="D52" s="2"/>
      <c r="E52" s="2"/>
      <c r="F52" s="2"/>
      <c r="G52" s="2"/>
      <c r="H52" s="2"/>
      <c r="I52" s="2"/>
    </row>
    <row r="53" spans="2:9" ht="23.25">
      <c r="B53" s="2"/>
      <c r="C53" s="2"/>
      <c r="D53" s="2"/>
      <c r="E53" s="2"/>
      <c r="F53" s="2"/>
      <c r="G53" s="2"/>
      <c r="H53" s="2"/>
      <c r="I53" s="2"/>
    </row>
    <row r="54" spans="2:15" ht="15">
      <c r="B54" s="64" t="s">
        <v>43</v>
      </c>
      <c r="C54" s="65">
        <v>2001</v>
      </c>
      <c r="D54" s="65">
        <v>2002</v>
      </c>
      <c r="E54" s="65">
        <v>2003</v>
      </c>
      <c r="F54" s="65">
        <v>2004</v>
      </c>
      <c r="G54" s="65">
        <v>2005</v>
      </c>
      <c r="H54" s="65">
        <v>2006</v>
      </c>
      <c r="I54" s="65">
        <v>2007</v>
      </c>
      <c r="J54" s="65" t="s">
        <v>8</v>
      </c>
      <c r="K54" s="65" t="s">
        <v>9</v>
      </c>
      <c r="L54" s="65" t="s">
        <v>10</v>
      </c>
      <c r="M54" s="65" t="s">
        <v>11</v>
      </c>
      <c r="N54" s="65" t="s">
        <v>397</v>
      </c>
      <c r="O54" s="66" t="s">
        <v>3</v>
      </c>
    </row>
    <row r="55" spans="2:15" ht="15">
      <c r="B55" s="67" t="s">
        <v>44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9</v>
      </c>
      <c r="N55" s="68">
        <v>37</v>
      </c>
      <c r="O55" s="69">
        <f>SUM(BBDD!$C55:$N55)</f>
        <v>46</v>
      </c>
    </row>
    <row r="56" spans="2:15" ht="15">
      <c r="B56" s="70" t="s">
        <v>45</v>
      </c>
      <c r="C56" s="165">
        <v>7</v>
      </c>
      <c r="D56" s="165">
        <v>13</v>
      </c>
      <c r="E56" s="165">
        <v>12</v>
      </c>
      <c r="F56" s="165">
        <v>11</v>
      </c>
      <c r="G56" s="165">
        <v>10</v>
      </c>
      <c r="H56" s="165">
        <v>8</v>
      </c>
      <c r="I56" s="165">
        <v>5</v>
      </c>
      <c r="J56" s="71">
        <v>6</v>
      </c>
      <c r="K56" s="71">
        <v>1</v>
      </c>
      <c r="L56" s="71">
        <v>6</v>
      </c>
      <c r="M56" s="71">
        <v>7</v>
      </c>
      <c r="N56" s="71">
        <v>9</v>
      </c>
      <c r="O56" s="72">
        <f>SUM(BBDD!$C56:$N56)</f>
        <v>95</v>
      </c>
    </row>
    <row r="57" spans="2:15" ht="15.75" thickBot="1">
      <c r="B57" s="73" t="s">
        <v>46</v>
      </c>
      <c r="C57" s="74">
        <v>2</v>
      </c>
      <c r="D57" s="74">
        <v>0</v>
      </c>
      <c r="E57" s="74">
        <v>1</v>
      </c>
      <c r="F57" s="74">
        <v>1</v>
      </c>
      <c r="G57" s="74">
        <v>1</v>
      </c>
      <c r="H57" s="74">
        <v>13</v>
      </c>
      <c r="I57" s="74">
        <v>21</v>
      </c>
      <c r="J57" s="74">
        <v>12</v>
      </c>
      <c r="K57" s="74">
        <v>31</v>
      </c>
      <c r="L57" s="74">
        <v>49</v>
      </c>
      <c r="M57" s="74">
        <v>56</v>
      </c>
      <c r="N57" s="74">
        <v>22</v>
      </c>
      <c r="O57" s="75">
        <f>SUM(BBDD!$C57:$N57)</f>
        <v>209</v>
      </c>
    </row>
    <row r="58" spans="2:15" ht="15.75" thickTop="1">
      <c r="B58" s="76" t="s">
        <v>12</v>
      </c>
      <c r="C58" s="166">
        <f aca="true" t="shared" si="6" ref="C58:E58">SUM(C55:C57)</f>
        <v>9</v>
      </c>
      <c r="D58" s="166">
        <f t="shared" si="6"/>
        <v>13</v>
      </c>
      <c r="E58" s="166">
        <f t="shared" si="6"/>
        <v>13</v>
      </c>
      <c r="F58" s="166">
        <f>SUM(F55:F57)</f>
        <v>12</v>
      </c>
      <c r="G58" s="166">
        <f aca="true" t="shared" si="7" ref="G58:O58">SUM(G55:G57)</f>
        <v>11</v>
      </c>
      <c r="H58" s="166">
        <f t="shared" si="7"/>
        <v>21</v>
      </c>
      <c r="I58" s="166">
        <f t="shared" si="7"/>
        <v>26</v>
      </c>
      <c r="J58" s="166">
        <f t="shared" si="7"/>
        <v>18</v>
      </c>
      <c r="K58" s="166">
        <f t="shared" si="7"/>
        <v>32</v>
      </c>
      <c r="L58" s="166">
        <f t="shared" si="7"/>
        <v>55</v>
      </c>
      <c r="M58" s="166">
        <f t="shared" si="7"/>
        <v>72</v>
      </c>
      <c r="N58" s="166">
        <f t="shared" si="7"/>
        <v>68</v>
      </c>
      <c r="O58" s="166">
        <f t="shared" si="7"/>
        <v>350</v>
      </c>
    </row>
    <row r="61" spans="2:9" ht="23.25">
      <c r="B61" s="2" t="s">
        <v>354</v>
      </c>
      <c r="C61" s="2"/>
      <c r="D61" s="2"/>
      <c r="E61" s="2"/>
      <c r="F61" s="2"/>
      <c r="G61" s="2"/>
      <c r="H61" s="2"/>
      <c r="I61" s="2"/>
    </row>
    <row r="63" spans="2:15" ht="15">
      <c r="B63" s="142" t="s">
        <v>1</v>
      </c>
      <c r="C63" s="1" t="s">
        <v>362</v>
      </c>
      <c r="D63" s="1" t="s">
        <v>363</v>
      </c>
      <c r="E63" s="1" t="s">
        <v>364</v>
      </c>
      <c r="F63" s="1" t="s">
        <v>356</v>
      </c>
      <c r="G63" s="1" t="s">
        <v>357</v>
      </c>
      <c r="H63" s="1" t="s">
        <v>358</v>
      </c>
      <c r="I63" s="1" t="s">
        <v>359</v>
      </c>
      <c r="J63" s="1" t="s">
        <v>8</v>
      </c>
      <c r="K63" s="1" t="s">
        <v>9</v>
      </c>
      <c r="L63" s="1" t="s">
        <v>10</v>
      </c>
      <c r="M63" s="1" t="s">
        <v>11</v>
      </c>
      <c r="N63" s="1" t="s">
        <v>397</v>
      </c>
      <c r="O63" s="1" t="s">
        <v>3</v>
      </c>
    </row>
    <row r="64" spans="2:15" ht="15">
      <c r="B64" s="142" t="s">
        <v>355</v>
      </c>
      <c r="C64" s="170">
        <v>97</v>
      </c>
      <c r="D64" s="170">
        <v>101</v>
      </c>
      <c r="E64" s="170">
        <v>125</v>
      </c>
      <c r="F64" s="143">
        <v>170</v>
      </c>
      <c r="G64" s="143">
        <v>110</v>
      </c>
      <c r="H64" s="143">
        <v>90</v>
      </c>
      <c r="I64" s="143">
        <v>115</v>
      </c>
      <c r="J64">
        <v>107</v>
      </c>
      <c r="K64">
        <v>107</v>
      </c>
      <c r="L64">
        <v>110</v>
      </c>
      <c r="M64">
        <v>115</v>
      </c>
      <c r="N64" s="218">
        <v>120</v>
      </c>
      <c r="O64">
        <f>SUM(C64:N64)</f>
        <v>1367</v>
      </c>
    </row>
    <row r="67" spans="2:9" ht="23.25">
      <c r="B67" s="2" t="s">
        <v>33</v>
      </c>
      <c r="C67" s="2"/>
      <c r="D67" s="2"/>
      <c r="E67" s="2"/>
      <c r="F67" s="2"/>
      <c r="G67" s="2"/>
      <c r="H67" s="2"/>
      <c r="I67" s="2"/>
    </row>
    <row r="69" spans="2:15" ht="15">
      <c r="B69" s="43" t="s">
        <v>1</v>
      </c>
      <c r="C69" s="44">
        <v>2001</v>
      </c>
      <c r="D69" s="44">
        <v>2002</v>
      </c>
      <c r="E69" s="44">
        <v>2003</v>
      </c>
      <c r="F69" s="44">
        <v>2004</v>
      </c>
      <c r="G69" s="44">
        <v>2005</v>
      </c>
      <c r="H69" s="44">
        <v>2006</v>
      </c>
      <c r="I69" s="44">
        <v>2007</v>
      </c>
      <c r="J69" s="44" t="s">
        <v>8</v>
      </c>
      <c r="K69" s="44" t="s">
        <v>9</v>
      </c>
      <c r="L69" s="44" t="s">
        <v>10</v>
      </c>
      <c r="M69" s="44" t="s">
        <v>11</v>
      </c>
      <c r="N69" s="44" t="s">
        <v>397</v>
      </c>
      <c r="O69" s="45" t="s">
        <v>3</v>
      </c>
    </row>
    <row r="70" spans="2:15" ht="15">
      <c r="B70" s="46" t="s">
        <v>4</v>
      </c>
      <c r="C70" s="158">
        <v>72</v>
      </c>
      <c r="D70" s="158">
        <v>91</v>
      </c>
      <c r="E70" s="158">
        <v>122</v>
      </c>
      <c r="F70" s="158">
        <v>89</v>
      </c>
      <c r="G70" s="158">
        <v>129</v>
      </c>
      <c r="H70" s="158">
        <v>110</v>
      </c>
      <c r="I70" s="158">
        <v>139</v>
      </c>
      <c r="J70" s="47">
        <v>158</v>
      </c>
      <c r="K70" s="47">
        <v>154</v>
      </c>
      <c r="L70" s="47">
        <v>197</v>
      </c>
      <c r="M70" s="47">
        <v>192</v>
      </c>
      <c r="N70" s="47">
        <v>117</v>
      </c>
      <c r="O70" s="48">
        <f>SUM(BBDD!$C70:$N70)</f>
        <v>1570</v>
      </c>
    </row>
    <row r="71" spans="2:15" ht="15">
      <c r="B71" s="49" t="s">
        <v>30</v>
      </c>
      <c r="C71" s="159">
        <v>1</v>
      </c>
      <c r="D71" s="159">
        <v>3</v>
      </c>
      <c r="E71" s="159">
        <v>0</v>
      </c>
      <c r="F71" s="159">
        <v>1</v>
      </c>
      <c r="G71" s="159">
        <v>1</v>
      </c>
      <c r="H71" s="159">
        <v>1</v>
      </c>
      <c r="I71" s="159">
        <v>1</v>
      </c>
      <c r="J71" s="50">
        <v>4</v>
      </c>
      <c r="K71" s="50">
        <v>0</v>
      </c>
      <c r="L71" s="50">
        <v>2</v>
      </c>
      <c r="M71" s="50">
        <v>0</v>
      </c>
      <c r="N71" s="50">
        <v>0</v>
      </c>
      <c r="O71" s="48">
        <f>SUM(BBDD!$C71:$N71)</f>
        <v>14</v>
      </c>
    </row>
    <row r="72" spans="2:15" ht="15">
      <c r="B72" s="46" t="s">
        <v>31</v>
      </c>
      <c r="C72" s="158">
        <v>1</v>
      </c>
      <c r="D72" s="158">
        <v>4</v>
      </c>
      <c r="E72" s="158">
        <v>5</v>
      </c>
      <c r="F72" s="158">
        <v>3</v>
      </c>
      <c r="G72" s="158">
        <v>2</v>
      </c>
      <c r="H72" s="158">
        <v>4</v>
      </c>
      <c r="I72" s="158">
        <v>2</v>
      </c>
      <c r="J72" s="47">
        <v>2</v>
      </c>
      <c r="K72" s="47">
        <v>1</v>
      </c>
      <c r="L72" s="47">
        <v>2</v>
      </c>
      <c r="M72" s="47">
        <v>43</v>
      </c>
      <c r="N72" s="47">
        <v>124</v>
      </c>
      <c r="O72" s="48">
        <f>SUM(BBDD!$C72:$N72)</f>
        <v>193</v>
      </c>
    </row>
    <row r="73" spans="2:15" ht="15.75" thickBot="1">
      <c r="B73" s="51" t="s">
        <v>32</v>
      </c>
      <c r="C73" s="146">
        <v>0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30">
        <v>0</v>
      </c>
      <c r="K73" s="30">
        <v>0</v>
      </c>
      <c r="L73" s="30">
        <v>1</v>
      </c>
      <c r="M73" s="30">
        <v>0</v>
      </c>
      <c r="N73" s="30">
        <v>0</v>
      </c>
      <c r="O73" s="48">
        <f>SUM(BBDD!$C73:$N73)</f>
        <v>1</v>
      </c>
    </row>
    <row r="74" spans="2:15" ht="15.75" thickTop="1">
      <c r="B74" s="52" t="s">
        <v>12</v>
      </c>
      <c r="C74" s="160">
        <f aca="true" t="shared" si="8" ref="C74:E74">SUM(C70:C73)</f>
        <v>74</v>
      </c>
      <c r="D74" s="160">
        <f t="shared" si="8"/>
        <v>98</v>
      </c>
      <c r="E74" s="160">
        <f t="shared" si="8"/>
        <v>127</v>
      </c>
      <c r="F74" s="160">
        <f>SUM(F70:F73)</f>
        <v>93</v>
      </c>
      <c r="G74" s="160">
        <f aca="true" t="shared" si="9" ref="G74:O74">SUM(G70:G73)</f>
        <v>132</v>
      </c>
      <c r="H74" s="160">
        <f t="shared" si="9"/>
        <v>115</v>
      </c>
      <c r="I74" s="160">
        <f t="shared" si="9"/>
        <v>142</v>
      </c>
      <c r="J74" s="160">
        <f t="shared" si="9"/>
        <v>164</v>
      </c>
      <c r="K74" s="160">
        <f t="shared" si="9"/>
        <v>155</v>
      </c>
      <c r="L74" s="160">
        <f t="shared" si="9"/>
        <v>202</v>
      </c>
      <c r="M74" s="160">
        <f t="shared" si="9"/>
        <v>235</v>
      </c>
      <c r="N74" s="160">
        <f t="shared" si="9"/>
        <v>241</v>
      </c>
      <c r="O74" s="160">
        <f t="shared" si="9"/>
        <v>1778</v>
      </c>
    </row>
  </sheetData>
  <printOptions/>
  <pageMargins left="0.7" right="0.7" top="0.75" bottom="0.75" header="0.3" footer="0.3"/>
  <pageSetup horizontalDpi="600" verticalDpi="600" orientation="portrait" paperSize="9"/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 topLeftCell="A1">
      <selection activeCell="L30" sqref="L30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5" max="5" width="17.00390625" style="0" customWidth="1"/>
    <col min="6" max="6" width="11.421875" style="0" bestFit="1" customWidth="1"/>
    <col min="8" max="8" width="21.421875" style="0" customWidth="1"/>
    <col min="10" max="10" width="11.421875" style="0" customWidth="1"/>
    <col min="11" max="11" width="4.00390625" style="0" customWidth="1"/>
    <col min="12" max="12" width="3.140625" style="0" customWidth="1"/>
    <col min="13" max="13" width="32.00390625" style="0" bestFit="1" customWidth="1"/>
    <col min="14" max="14" width="7.7109375" style="0" bestFit="1" customWidth="1"/>
    <col min="15" max="15" width="9.8515625" style="0" bestFit="1" customWidth="1"/>
  </cols>
  <sheetData>
    <row r="1" ht="15.75" thickBot="1"/>
    <row r="2" spans="2:15" ht="32.25" thickTop="1">
      <c r="B2" s="89">
        <v>2008</v>
      </c>
      <c r="H2" s="273" t="s">
        <v>140</v>
      </c>
      <c r="I2" s="274"/>
      <c r="J2" s="275"/>
      <c r="M2" s="273" t="s">
        <v>141</v>
      </c>
      <c r="N2" s="274"/>
      <c r="O2" s="275"/>
    </row>
    <row r="3" spans="8:15" ht="15">
      <c r="H3" s="95"/>
      <c r="I3" s="90"/>
      <c r="J3" s="96"/>
      <c r="M3" s="95"/>
      <c r="N3" s="90"/>
      <c r="O3" s="96"/>
    </row>
    <row r="4" spans="2:15" ht="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 ht="15">
      <c r="B5" t="s">
        <v>142</v>
      </c>
      <c r="C5" t="s">
        <v>66</v>
      </c>
      <c r="D5">
        <v>9</v>
      </c>
      <c r="E5">
        <v>6</v>
      </c>
      <c r="F5" s="88">
        <f>Tabla68910[[#This Row],[Texto completo]]/Tabla68910[[#This Row],[Referencias]]</f>
        <v>0.6666666666666666</v>
      </c>
      <c r="H5" s="95" t="s">
        <v>127</v>
      </c>
      <c r="I5" s="94">
        <f>STDEV(D5:D34)</f>
        <v>20.479566491460723</v>
      </c>
      <c r="J5" s="96"/>
      <c r="M5" s="95" t="s">
        <v>138</v>
      </c>
      <c r="N5" s="94">
        <f>SUM(Tabla68910[Texto completo])/SUM(Tabla68910[Referencias])</f>
        <v>0.5423023578363384</v>
      </c>
      <c r="O5" s="96"/>
    </row>
    <row r="6" spans="2:15" ht="15">
      <c r="B6" t="s">
        <v>143</v>
      </c>
      <c r="C6" t="s">
        <v>64</v>
      </c>
      <c r="D6">
        <v>65</v>
      </c>
      <c r="E6">
        <v>56</v>
      </c>
      <c r="F6" s="88">
        <f>Tabla68910[[#This Row],[Texto completo]]/Tabla68910[[#This Row],[Referencias]]</f>
        <v>0.8615384615384616</v>
      </c>
      <c r="H6" s="95"/>
      <c r="I6" s="90"/>
      <c r="J6" s="96"/>
      <c r="M6" s="95"/>
      <c r="N6" s="90"/>
      <c r="O6" s="96"/>
    </row>
    <row r="7" spans="2:15" ht="15">
      <c r="B7" t="s">
        <v>144</v>
      </c>
      <c r="C7" t="s">
        <v>66</v>
      </c>
      <c r="D7">
        <v>7</v>
      </c>
      <c r="E7">
        <v>0</v>
      </c>
      <c r="F7" s="88">
        <f>Tabla68910[[#This Row],[Texto completo]]/Tabla68910[[#This Row],[Referencias]]</f>
        <v>0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 ht="15">
      <c r="B8" t="s">
        <v>145</v>
      </c>
      <c r="C8" t="s">
        <v>66</v>
      </c>
      <c r="D8">
        <v>20</v>
      </c>
      <c r="E8">
        <v>7</v>
      </c>
      <c r="F8" s="88">
        <f>Tabla68910[[#This Row],[Texto completo]]/Tabla68910[[#This Row],[Referencias]]</f>
        <v>0.35</v>
      </c>
      <c r="H8" s="95"/>
      <c r="I8" s="90"/>
      <c r="J8" s="96"/>
      <c r="M8" s="95"/>
      <c r="N8" s="90"/>
      <c r="O8" s="96"/>
    </row>
    <row r="9" spans="2:15" ht="15">
      <c r="B9" t="s">
        <v>146</v>
      </c>
      <c r="C9" t="s">
        <v>66</v>
      </c>
      <c r="D9">
        <v>12</v>
      </c>
      <c r="E9">
        <v>8</v>
      </c>
      <c r="F9" s="88">
        <f>Tabla68910[[#This Row],[Texto completo]]/Tabla68910[[#This Row],[Referencias]]</f>
        <v>0.6666666666666666</v>
      </c>
      <c r="H9" s="95" t="s">
        <v>129</v>
      </c>
      <c r="I9" s="90">
        <v>7.5</v>
      </c>
      <c r="J9" s="96"/>
      <c r="M9" s="95" t="s">
        <v>129</v>
      </c>
      <c r="N9" s="90">
        <v>0.037</v>
      </c>
      <c r="O9" s="96"/>
    </row>
    <row r="10" spans="2:15" ht="15">
      <c r="B10" t="s">
        <v>147</v>
      </c>
      <c r="C10" t="s">
        <v>66</v>
      </c>
      <c r="D10">
        <v>22</v>
      </c>
      <c r="E10">
        <v>1</v>
      </c>
      <c r="F10" s="88">
        <f>Tabla68910[[#This Row],[Texto completo]]/Tabla68910[[#This Row],[Referencias]]</f>
        <v>0.045454545454545456</v>
      </c>
      <c r="H10" s="95"/>
      <c r="I10" s="90"/>
      <c r="J10" s="96"/>
      <c r="M10" s="95"/>
      <c r="N10" s="90"/>
      <c r="O10" s="96"/>
    </row>
    <row r="11" spans="2:15" ht="15">
      <c r="B11" t="s">
        <v>148</v>
      </c>
      <c r="C11" t="s">
        <v>66</v>
      </c>
      <c r="D11">
        <v>8</v>
      </c>
      <c r="E11">
        <v>5</v>
      </c>
      <c r="F11" s="88">
        <f>Tabla68910[[#This Row],[Texto completo]]/Tabla68910[[#This Row],[Referencias]]</f>
        <v>0.625</v>
      </c>
      <c r="H11" s="95" t="s">
        <v>130</v>
      </c>
      <c r="I11" s="91">
        <f>((I7*I7)*(I5*I5))/(I9*I9)</f>
        <v>28.643833101404848</v>
      </c>
      <c r="J11" s="96"/>
      <c r="M11" s="95" t="s">
        <v>130</v>
      </c>
      <c r="N11" s="91">
        <f>((N7*N7)*N5*(1-N5))/(N9*N9)</f>
        <v>696.5124157920689</v>
      </c>
      <c r="O11" s="96"/>
    </row>
    <row r="12" spans="2:15" ht="15">
      <c r="B12" t="s">
        <v>149</v>
      </c>
      <c r="C12" t="s">
        <v>64</v>
      </c>
      <c r="D12">
        <v>17</v>
      </c>
      <c r="E12">
        <v>10</v>
      </c>
      <c r="F12" s="88">
        <f>Tabla68910[[#This Row],[Texto completo]]/Tabla68910[[#This Row],[Referencias]]</f>
        <v>0.5882352941176471</v>
      </c>
      <c r="H12" s="95"/>
      <c r="I12" s="90"/>
      <c r="J12" s="96"/>
      <c r="M12" s="95"/>
      <c r="N12" s="90"/>
      <c r="O12" s="96"/>
    </row>
    <row r="13" spans="2:15" ht="15">
      <c r="B13" t="s">
        <v>150</v>
      </c>
      <c r="C13" t="s">
        <v>64</v>
      </c>
      <c r="D13">
        <v>54</v>
      </c>
      <c r="E13">
        <v>43</v>
      </c>
      <c r="F13" s="88">
        <f>Tabla68910[[#This Row],[Texto completo]]/Tabla68910[[#This Row],[Referencias]]</f>
        <v>0.7962962962962963</v>
      </c>
      <c r="H13" s="95"/>
      <c r="I13" s="90"/>
      <c r="J13" s="96"/>
      <c r="M13" s="95"/>
      <c r="N13" s="90"/>
      <c r="O13" s="96"/>
    </row>
    <row r="14" spans="2:15" ht="15">
      <c r="B14" t="s">
        <v>151</v>
      </c>
      <c r="C14" t="s">
        <v>64</v>
      </c>
      <c r="D14">
        <v>60</v>
      </c>
      <c r="E14">
        <v>31</v>
      </c>
      <c r="F14" s="88">
        <f>Tabla68910[[#This Row],[Texto completo]]/Tabla68910[[#This Row],[Referencias]]</f>
        <v>0.5166666666666667</v>
      </c>
      <c r="H14" s="95"/>
      <c r="I14" s="90"/>
      <c r="J14" s="96"/>
      <c r="M14" s="95"/>
      <c r="N14" s="90"/>
      <c r="O14" s="96"/>
    </row>
    <row r="15" spans="2:15" ht="15">
      <c r="B15" t="s">
        <v>152</v>
      </c>
      <c r="C15" t="s">
        <v>66</v>
      </c>
      <c r="D15">
        <v>7</v>
      </c>
      <c r="E15">
        <v>0</v>
      </c>
      <c r="F15" s="88">
        <f>Tabla68910[[#This Row],[Texto completo]]/Tabla68910[[#This Row],[Referencias]]</f>
        <v>0</v>
      </c>
      <c r="H15" s="95"/>
      <c r="I15" s="90"/>
      <c r="J15" s="96"/>
      <c r="M15" s="95"/>
      <c r="N15" s="90"/>
      <c r="O15" s="96"/>
    </row>
    <row r="16" spans="2:15" ht="15">
      <c r="B16" t="s">
        <v>153</v>
      </c>
      <c r="C16" t="s">
        <v>66</v>
      </c>
      <c r="D16">
        <v>5</v>
      </c>
      <c r="E16">
        <v>2</v>
      </c>
      <c r="F16" s="88">
        <f>Tabla68910[[#This Row],[Texto completo]]/Tabla68910[[#This Row],[Referencias]]</f>
        <v>0.4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 ht="15">
      <c r="B17" t="s">
        <v>154</v>
      </c>
      <c r="C17" t="s">
        <v>64</v>
      </c>
      <c r="D17">
        <v>23</v>
      </c>
      <c r="E17">
        <v>15</v>
      </c>
      <c r="F17" s="88">
        <f>Tabla68910[[#This Row],[Texto completo]]/Tabla68910[[#This Row],[Referencias]]</f>
        <v>0.6521739130434783</v>
      </c>
      <c r="H17" s="95" t="s">
        <v>131</v>
      </c>
      <c r="I17" s="91">
        <f>AVERAGE(Tabla68910[Referencias])</f>
        <v>24.033333333333335</v>
      </c>
      <c r="J17" s="96"/>
      <c r="M17" s="95" t="s">
        <v>138</v>
      </c>
      <c r="N17" s="94">
        <f>N5</f>
        <v>0.5423023578363384</v>
      </c>
      <c r="O17" s="96"/>
    </row>
    <row r="18" spans="2:15" ht="15">
      <c r="B18" t="s">
        <v>155</v>
      </c>
      <c r="C18" t="s">
        <v>64</v>
      </c>
      <c r="D18">
        <v>49</v>
      </c>
      <c r="E18">
        <v>16</v>
      </c>
      <c r="F18" s="88">
        <f>Tabla68910[[#This Row],[Texto completo]]/Tabla68910[[#This Row],[Referencias]]</f>
        <v>0.32653061224489793</v>
      </c>
      <c r="H18" s="95"/>
      <c r="I18" s="90"/>
      <c r="J18" s="96"/>
      <c r="M18" s="95"/>
      <c r="N18" s="90"/>
      <c r="O18" s="96"/>
    </row>
    <row r="19" spans="2:15" ht="15">
      <c r="B19" t="s">
        <v>156</v>
      </c>
      <c r="C19" t="s">
        <v>66</v>
      </c>
      <c r="D19">
        <v>6</v>
      </c>
      <c r="E19">
        <v>1</v>
      </c>
      <c r="F19" s="88">
        <f>Tabla68910[[#This Row],[Texto completo]]/Tabla68910[[#This Row],[Referencias]]</f>
        <v>0.16666666666666666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 ht="15">
      <c r="B20" t="s">
        <v>157</v>
      </c>
      <c r="C20" t="s">
        <v>64</v>
      </c>
      <c r="D20">
        <v>32</v>
      </c>
      <c r="E20">
        <v>20</v>
      </c>
      <c r="F20" s="88">
        <f>Tabla68910[[#This Row],[Texto completo]]/Tabla68910[[#This Row],[Referencias]]</f>
        <v>0.625</v>
      </c>
      <c r="H20" s="95"/>
      <c r="I20" s="90"/>
      <c r="J20" s="96"/>
      <c r="M20" s="95"/>
      <c r="N20" s="90"/>
      <c r="O20" s="96"/>
    </row>
    <row r="21" spans="2:15" ht="15">
      <c r="B21" t="s">
        <v>158</v>
      </c>
      <c r="C21" t="s">
        <v>64</v>
      </c>
      <c r="D21">
        <v>31</v>
      </c>
      <c r="E21">
        <v>19</v>
      </c>
      <c r="F21" s="88">
        <f>Tabla68910[[#This Row],[Texto completo]]/Tabla68910[[#This Row],[Referencias]]</f>
        <v>0.6129032258064516</v>
      </c>
      <c r="H21" s="95" t="s">
        <v>133</v>
      </c>
      <c r="I21" s="91">
        <f>I5/SQRT(30)</f>
        <v>3.739040178433323</v>
      </c>
      <c r="J21" s="96"/>
      <c r="M21" s="95" t="s">
        <v>139</v>
      </c>
      <c r="N21" s="94">
        <f>SQRT($N$17*(1-$N$17)/SUM(Tabla68910[Referencias]))</f>
        <v>0.01855420930971885</v>
      </c>
      <c r="O21" s="96"/>
    </row>
    <row r="22" spans="2:15" ht="15">
      <c r="B22" t="s">
        <v>159</v>
      </c>
      <c r="C22" t="s">
        <v>64</v>
      </c>
      <c r="D22">
        <v>22</v>
      </c>
      <c r="E22">
        <v>14</v>
      </c>
      <c r="F22" s="88">
        <f>Tabla68910[[#This Row],[Texto completo]]/Tabla68910[[#This Row],[Referencias]]</f>
        <v>0.6363636363636364</v>
      </c>
      <c r="H22" s="95"/>
      <c r="I22" s="90"/>
      <c r="J22" s="96"/>
      <c r="M22" s="95"/>
      <c r="N22" s="90"/>
      <c r="O22" s="96"/>
    </row>
    <row r="23" spans="2:15" ht="15.75" thickBot="1">
      <c r="B23" t="s">
        <v>160</v>
      </c>
      <c r="C23" t="s">
        <v>64</v>
      </c>
      <c r="D23">
        <v>90</v>
      </c>
      <c r="E23">
        <v>44</v>
      </c>
      <c r="F23" s="88">
        <f>Tabla68910[[#This Row],[Texto completo]]/Tabla68910[[#This Row],[Referencias]]</f>
        <v>0.4888888888888889</v>
      </c>
      <c r="H23" s="97" t="s">
        <v>134</v>
      </c>
      <c r="I23" s="98">
        <f>$I$17-$I$19*$I$21</f>
        <v>16.704814583604023</v>
      </c>
      <c r="J23" s="99">
        <f>$I$17+$I$19*$I$21</f>
        <v>31.361852083062647</v>
      </c>
      <c r="K23" s="92"/>
      <c r="M23" s="97" t="s">
        <v>132</v>
      </c>
      <c r="N23" s="98">
        <f>$N$17-$N$19*N21</f>
        <v>0.5059361075892894</v>
      </c>
      <c r="O23" s="99">
        <f>$N$17+$N$19*$N$21</f>
        <v>0.5786686080833874</v>
      </c>
    </row>
    <row r="24" spans="2:6" ht="15.75" thickTop="1">
      <c r="B24" t="s">
        <v>161</v>
      </c>
      <c r="C24" t="s">
        <v>66</v>
      </c>
      <c r="D24">
        <v>9</v>
      </c>
      <c r="E24">
        <v>7</v>
      </c>
      <c r="F24" s="88">
        <f>Tabla68910[[#This Row],[Texto completo]]/Tabla68910[[#This Row],[Referencias]]</f>
        <v>0.7777777777777778</v>
      </c>
    </row>
    <row r="25" spans="2:6" ht="15">
      <c r="B25" t="s">
        <v>162</v>
      </c>
      <c r="C25" t="s">
        <v>64</v>
      </c>
      <c r="D25">
        <v>34</v>
      </c>
      <c r="E25">
        <v>15</v>
      </c>
      <c r="F25" s="88">
        <f>Tabla68910[[#This Row],[Texto completo]]/Tabla68910[[#This Row],[Referencias]]</f>
        <v>0.4411764705882353</v>
      </c>
    </row>
    <row r="26" spans="2:6" ht="15">
      <c r="B26" t="s">
        <v>163</v>
      </c>
      <c r="C26" t="s">
        <v>64</v>
      </c>
      <c r="D26">
        <v>22</v>
      </c>
      <c r="E26">
        <v>16</v>
      </c>
      <c r="F26" s="88">
        <f>Tabla68910[[#This Row],[Texto completo]]/Tabla68910[[#This Row],[Referencias]]</f>
        <v>0.7272727272727273</v>
      </c>
    </row>
    <row r="27" spans="2:6" ht="15">
      <c r="B27" t="s">
        <v>164</v>
      </c>
      <c r="C27" t="s">
        <v>64</v>
      </c>
      <c r="D27">
        <v>15</v>
      </c>
      <c r="E27">
        <v>4</v>
      </c>
      <c r="F27" s="88">
        <f>Tabla68910[[#This Row],[Texto completo]]/Tabla68910[[#This Row],[Referencias]]</f>
        <v>0.26666666666666666</v>
      </c>
    </row>
    <row r="28" spans="2:6" ht="15">
      <c r="B28" t="s">
        <v>165</v>
      </c>
      <c r="C28" t="s">
        <v>64</v>
      </c>
      <c r="D28">
        <v>23</v>
      </c>
      <c r="E28">
        <v>8</v>
      </c>
      <c r="F28" s="88">
        <f>Tabla68910[[#This Row],[Texto completo]]/Tabla68910[[#This Row],[Referencias]]</f>
        <v>0.34782608695652173</v>
      </c>
    </row>
    <row r="29" spans="2:6" ht="15">
      <c r="B29" t="s">
        <v>166</v>
      </c>
      <c r="C29" t="s">
        <v>64</v>
      </c>
      <c r="D29">
        <v>20</v>
      </c>
      <c r="E29">
        <v>9</v>
      </c>
      <c r="F29" s="88">
        <f>Tabla68910[[#This Row],[Texto completo]]/Tabla68910[[#This Row],[Referencias]]</f>
        <v>0.45</v>
      </c>
    </row>
    <row r="30" spans="2:6" ht="15">
      <c r="B30" t="s">
        <v>167</v>
      </c>
      <c r="C30" t="s">
        <v>64</v>
      </c>
      <c r="D30">
        <v>7</v>
      </c>
      <c r="E30">
        <v>5</v>
      </c>
      <c r="F30" s="88">
        <f>Tabla68910[[#This Row],[Texto completo]]/Tabla68910[[#This Row],[Referencias]]</f>
        <v>0.7142857142857143</v>
      </c>
    </row>
    <row r="31" spans="2:6" ht="15">
      <c r="B31" t="s">
        <v>168</v>
      </c>
      <c r="C31" t="s">
        <v>64</v>
      </c>
      <c r="D31">
        <v>14</v>
      </c>
      <c r="E31">
        <v>7</v>
      </c>
      <c r="F31" s="88">
        <f>Tabla68910[[#This Row],[Texto completo]]/Tabla68910[[#This Row],[Referencias]]</f>
        <v>0.5</v>
      </c>
    </row>
    <row r="32" spans="2:6" ht="15">
      <c r="B32" t="s">
        <v>169</v>
      </c>
      <c r="C32" t="s">
        <v>64</v>
      </c>
      <c r="D32">
        <v>17</v>
      </c>
      <c r="E32">
        <v>15</v>
      </c>
      <c r="F32" s="88">
        <f>Tabla68910[[#This Row],[Texto completo]]/Tabla68910[[#This Row],[Referencias]]</f>
        <v>0.8823529411764706</v>
      </c>
    </row>
    <row r="33" spans="2:6" ht="15">
      <c r="B33" t="s">
        <v>170</v>
      </c>
      <c r="C33" t="s">
        <v>66</v>
      </c>
      <c r="D33">
        <v>10</v>
      </c>
      <c r="E33">
        <v>5</v>
      </c>
      <c r="F33" s="88">
        <f>Tabla68910[[#This Row],[Texto completo]]/Tabla68910[[#This Row],[Referencias]]</f>
        <v>0.5</v>
      </c>
    </row>
    <row r="34" spans="2:6" ht="15">
      <c r="B34" t="s">
        <v>171</v>
      </c>
      <c r="C34" t="s">
        <v>64</v>
      </c>
      <c r="D34">
        <v>11</v>
      </c>
      <c r="E34">
        <v>2</v>
      </c>
      <c r="F34" s="88">
        <f>Tabla68910[[#This Row],[Texto completo]]/Tabla68910[[#This Row],[Referencias]]</f>
        <v>0.18181818181818182</v>
      </c>
    </row>
    <row r="35" spans="4:6" ht="15">
      <c r="D35">
        <f>SUBTOTAL(109,[Referencias])</f>
        <v>721</v>
      </c>
      <c r="E35">
        <f>SUBTOTAL(109,[Texto completo])</f>
        <v>391</v>
      </c>
      <c r="F35" s="88">
        <f>SUBTOTAL(101,[Porcentaje])</f>
        <v>0.49380760356544223</v>
      </c>
    </row>
  </sheetData>
  <mergeCells count="2">
    <mergeCell ref="H2:J2"/>
    <mergeCell ref="M2:O2"/>
  </mergeCells>
  <printOptions/>
  <pageMargins left="0.7" right="0.7" top="0.75" bottom="0.75" header="0.3" footer="0.3"/>
  <pageSetup horizontalDpi="600" verticalDpi="600" orientation="portrait" paperSize="9"/>
  <tableParts>
    <tablePart r:id="rId1"/>
    <tablePart r:id="rId5"/>
    <tablePart r:id="rId2"/>
    <tablePart r:id="rId4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05"/>
  <sheetViews>
    <sheetView workbookViewId="0" topLeftCell="A1">
      <selection activeCell="D5" sqref="D5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6" max="6" width="21.421875" style="0" customWidth="1"/>
    <col min="8" max="8" width="11.421875" style="0" customWidth="1"/>
    <col min="9" max="9" width="4.00390625" style="0" customWidth="1"/>
    <col min="10" max="10" width="3.140625" style="0" customWidth="1"/>
    <col min="11" max="11" width="32.00390625" style="0" bestFit="1" customWidth="1"/>
    <col min="12" max="12" width="7.7109375" style="0" bestFit="1" customWidth="1"/>
    <col min="13" max="13" width="9.8515625" style="0" bestFit="1" customWidth="1"/>
  </cols>
  <sheetData>
    <row r="1" ht="15.75" thickBot="1"/>
    <row r="2" spans="2:13" ht="32.25" thickTop="1">
      <c r="B2" s="89">
        <v>2008</v>
      </c>
      <c r="F2" s="273" t="s">
        <v>140</v>
      </c>
      <c r="G2" s="274"/>
      <c r="H2" s="275"/>
      <c r="K2" s="276"/>
      <c r="L2" s="276"/>
      <c r="M2" s="276"/>
    </row>
    <row r="3" spans="6:8" ht="15">
      <c r="F3" s="95"/>
      <c r="G3" s="90"/>
      <c r="H3" s="96"/>
    </row>
    <row r="4" spans="2:8" ht="15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8" ht="15">
      <c r="A5">
        <v>1</v>
      </c>
      <c r="B5" t="s">
        <v>142</v>
      </c>
      <c r="C5" t="s">
        <v>66</v>
      </c>
      <c r="D5">
        <v>9</v>
      </c>
      <c r="F5" s="95" t="s">
        <v>127</v>
      </c>
      <c r="G5" s="94">
        <f>STDEV(D5:D34)</f>
        <v>20.479566491460723</v>
      </c>
      <c r="H5" s="96"/>
    </row>
    <row r="6" spans="1:8" ht="15">
      <c r="A6">
        <v>2</v>
      </c>
      <c r="B6" t="s">
        <v>143</v>
      </c>
      <c r="C6" t="s">
        <v>64</v>
      </c>
      <c r="D6">
        <v>65</v>
      </c>
      <c r="F6" s="95"/>
      <c r="G6" s="90"/>
      <c r="H6" s="96"/>
    </row>
    <row r="7" spans="1:8" ht="15">
      <c r="A7">
        <v>3</v>
      </c>
      <c r="B7" t="s">
        <v>144</v>
      </c>
      <c r="C7" t="s">
        <v>66</v>
      </c>
      <c r="D7">
        <v>7</v>
      </c>
      <c r="F7" s="95" t="s">
        <v>128</v>
      </c>
      <c r="G7" s="90">
        <v>1.96</v>
      </c>
      <c r="H7" s="96"/>
    </row>
    <row r="8" spans="1:8" ht="15">
      <c r="A8">
        <v>4</v>
      </c>
      <c r="B8" t="s">
        <v>145</v>
      </c>
      <c r="C8" t="s">
        <v>66</v>
      </c>
      <c r="D8">
        <v>20</v>
      </c>
      <c r="F8" s="95"/>
      <c r="G8" s="90"/>
      <c r="H8" s="96"/>
    </row>
    <row r="9" spans="1:8" ht="15">
      <c r="A9">
        <v>5</v>
      </c>
      <c r="B9" t="s">
        <v>146</v>
      </c>
      <c r="C9" t="s">
        <v>66</v>
      </c>
      <c r="D9">
        <v>12</v>
      </c>
      <c r="F9" s="95" t="s">
        <v>129</v>
      </c>
      <c r="G9" s="90">
        <v>4</v>
      </c>
      <c r="H9" s="96"/>
    </row>
    <row r="10" spans="1:8" ht="15">
      <c r="A10">
        <v>6</v>
      </c>
      <c r="B10" s="110" t="s">
        <v>147</v>
      </c>
      <c r="C10" s="110" t="s">
        <v>66</v>
      </c>
      <c r="D10" s="110">
        <v>22</v>
      </c>
      <c r="F10" s="95"/>
      <c r="G10" s="90"/>
      <c r="H10" s="96"/>
    </row>
    <row r="11" spans="1:8" ht="15">
      <c r="A11">
        <v>7</v>
      </c>
      <c r="B11" s="110" t="s">
        <v>148</v>
      </c>
      <c r="C11" s="110" t="s">
        <v>66</v>
      </c>
      <c r="D11" s="110">
        <v>8</v>
      </c>
      <c r="F11" s="95" t="s">
        <v>130</v>
      </c>
      <c r="G11" s="91">
        <f>((G7*G7)*(G5*G5))/(G9*G9)</f>
        <v>100.70097574712642</v>
      </c>
      <c r="H11" s="96"/>
    </row>
    <row r="12" spans="1:8" ht="15">
      <c r="A12">
        <v>8</v>
      </c>
      <c r="B12" t="s">
        <v>149</v>
      </c>
      <c r="C12" t="s">
        <v>64</v>
      </c>
      <c r="D12">
        <v>17</v>
      </c>
      <c r="F12" s="95"/>
      <c r="G12" s="90"/>
      <c r="H12" s="96"/>
    </row>
    <row r="13" spans="1:8" ht="15">
      <c r="A13">
        <v>9</v>
      </c>
      <c r="B13" s="110" t="s">
        <v>150</v>
      </c>
      <c r="C13" s="110" t="s">
        <v>64</v>
      </c>
      <c r="D13" s="110">
        <v>54</v>
      </c>
      <c r="F13" s="95"/>
      <c r="G13" s="90"/>
      <c r="H13" s="96"/>
    </row>
    <row r="14" spans="1:8" ht="15">
      <c r="A14">
        <v>10</v>
      </c>
      <c r="B14" t="s">
        <v>151</v>
      </c>
      <c r="C14" t="s">
        <v>64</v>
      </c>
      <c r="D14">
        <v>60</v>
      </c>
      <c r="F14" s="95"/>
      <c r="G14" s="90"/>
      <c r="H14" s="96"/>
    </row>
    <row r="15" spans="1:8" ht="15">
      <c r="A15">
        <v>11</v>
      </c>
      <c r="B15" s="110" t="s">
        <v>152</v>
      </c>
      <c r="C15" s="110" t="s">
        <v>66</v>
      </c>
      <c r="D15" s="110">
        <v>7</v>
      </c>
      <c r="F15" s="95"/>
      <c r="G15" s="90"/>
      <c r="H15" s="96"/>
    </row>
    <row r="16" spans="1:8" ht="15">
      <c r="A16">
        <v>12</v>
      </c>
      <c r="B16" s="110" t="s">
        <v>153</v>
      </c>
      <c r="C16" s="110" t="s">
        <v>66</v>
      </c>
      <c r="D16" s="110">
        <v>5</v>
      </c>
      <c r="F16" s="95" t="s">
        <v>137</v>
      </c>
      <c r="G16" s="91" t="s">
        <v>136</v>
      </c>
      <c r="H16" s="96" t="s">
        <v>135</v>
      </c>
    </row>
    <row r="17" spans="1:8" ht="15">
      <c r="A17">
        <v>13</v>
      </c>
      <c r="B17" s="110" t="s">
        <v>154</v>
      </c>
      <c r="C17" s="110" t="s">
        <v>64</v>
      </c>
      <c r="D17" s="110">
        <v>23</v>
      </c>
      <c r="F17" s="95" t="s">
        <v>131</v>
      </c>
      <c r="G17" s="91">
        <f>AVERAGE(D5:D105)</f>
        <v>25.237623762376238</v>
      </c>
      <c r="H17" s="96"/>
    </row>
    <row r="18" spans="1:8" ht="15">
      <c r="A18">
        <v>14</v>
      </c>
      <c r="B18" s="110" t="s">
        <v>155</v>
      </c>
      <c r="C18" s="110" t="s">
        <v>64</v>
      </c>
      <c r="D18" s="110">
        <v>49</v>
      </c>
      <c r="F18" s="95"/>
      <c r="G18" s="90"/>
      <c r="H18" s="96"/>
    </row>
    <row r="19" spans="1:8" ht="15">
      <c r="A19">
        <v>15</v>
      </c>
      <c r="B19" s="110" t="s">
        <v>156</v>
      </c>
      <c r="C19" s="110" t="s">
        <v>66</v>
      </c>
      <c r="D19" s="110">
        <v>6</v>
      </c>
      <c r="F19" s="95" t="s">
        <v>128</v>
      </c>
      <c r="G19" s="90">
        <v>1.96</v>
      </c>
      <c r="H19" s="96"/>
    </row>
    <row r="20" spans="1:8" ht="15">
      <c r="A20">
        <v>16</v>
      </c>
      <c r="B20" s="110" t="s">
        <v>157</v>
      </c>
      <c r="C20" s="110" t="s">
        <v>64</v>
      </c>
      <c r="D20" s="110">
        <v>32</v>
      </c>
      <c r="F20" s="95"/>
      <c r="G20" s="90"/>
      <c r="H20" s="96"/>
    </row>
    <row r="21" spans="1:8" ht="15">
      <c r="A21">
        <v>17</v>
      </c>
      <c r="B21" s="110" t="s">
        <v>158</v>
      </c>
      <c r="C21" s="110" t="s">
        <v>64</v>
      </c>
      <c r="D21" s="110">
        <v>31</v>
      </c>
      <c r="F21" s="95" t="s">
        <v>133</v>
      </c>
      <c r="G21" s="91">
        <f>G5/SQRT(100)</f>
        <v>2.047956649146072</v>
      </c>
      <c r="H21" s="96"/>
    </row>
    <row r="22" spans="1:8" ht="15">
      <c r="A22">
        <v>18</v>
      </c>
      <c r="B22" s="110" t="s">
        <v>159</v>
      </c>
      <c r="C22" s="110" t="s">
        <v>64</v>
      </c>
      <c r="D22" s="110">
        <v>22</v>
      </c>
      <c r="F22" s="95"/>
      <c r="G22" s="90"/>
      <c r="H22" s="96"/>
    </row>
    <row r="23" spans="1:9" ht="15.75" thickBot="1">
      <c r="A23">
        <v>19</v>
      </c>
      <c r="B23" s="110" t="s">
        <v>160</v>
      </c>
      <c r="C23" s="110" t="s">
        <v>64</v>
      </c>
      <c r="D23" s="110">
        <v>90</v>
      </c>
      <c r="F23" s="97" t="s">
        <v>134</v>
      </c>
      <c r="G23" s="98">
        <f>$G$17-$G$19*$G$21</f>
        <v>21.22362873004994</v>
      </c>
      <c r="H23" s="99">
        <f>$G$17+$G$19*$G$21</f>
        <v>29.251618794702537</v>
      </c>
      <c r="I23" s="92"/>
    </row>
    <row r="24" spans="1:4" ht="15.75" thickTop="1">
      <c r="A24">
        <v>20</v>
      </c>
      <c r="B24" s="110" t="s">
        <v>161</v>
      </c>
      <c r="C24" s="110" t="s">
        <v>66</v>
      </c>
      <c r="D24" s="110">
        <v>9</v>
      </c>
    </row>
    <row r="25" spans="1:4" ht="15">
      <c r="A25">
        <v>21</v>
      </c>
      <c r="B25" s="110" t="s">
        <v>162</v>
      </c>
      <c r="C25" s="110" t="s">
        <v>64</v>
      </c>
      <c r="D25" s="110">
        <v>34</v>
      </c>
    </row>
    <row r="26" spans="1:4" ht="15">
      <c r="A26">
        <v>22</v>
      </c>
      <c r="B26" s="110" t="s">
        <v>163</v>
      </c>
      <c r="C26" s="110" t="s">
        <v>64</v>
      </c>
      <c r="D26" s="110">
        <v>22</v>
      </c>
    </row>
    <row r="27" spans="1:4" ht="15">
      <c r="A27">
        <v>23</v>
      </c>
      <c r="B27" s="110" t="s">
        <v>164</v>
      </c>
      <c r="C27" s="110" t="s">
        <v>64</v>
      </c>
      <c r="D27" s="110">
        <v>15</v>
      </c>
    </row>
    <row r="28" spans="1:4" ht="15">
      <c r="A28">
        <v>24</v>
      </c>
      <c r="B28" s="110" t="s">
        <v>165</v>
      </c>
      <c r="C28" s="110" t="s">
        <v>64</v>
      </c>
      <c r="D28" s="110">
        <v>23</v>
      </c>
    </row>
    <row r="29" spans="1:4" ht="15">
      <c r="A29">
        <v>25</v>
      </c>
      <c r="B29" s="110" t="s">
        <v>166</v>
      </c>
      <c r="C29" s="110" t="s">
        <v>64</v>
      </c>
      <c r="D29" s="110">
        <v>20</v>
      </c>
    </row>
    <row r="30" spans="1:4" ht="15">
      <c r="A30">
        <v>26</v>
      </c>
      <c r="B30" s="110" t="s">
        <v>167</v>
      </c>
      <c r="C30" s="110" t="s">
        <v>64</v>
      </c>
      <c r="D30" s="110">
        <v>7</v>
      </c>
    </row>
    <row r="31" spans="1:4" ht="15">
      <c r="A31">
        <v>27</v>
      </c>
      <c r="B31" s="110" t="s">
        <v>168</v>
      </c>
      <c r="C31" s="110" t="s">
        <v>64</v>
      </c>
      <c r="D31" s="110">
        <v>14</v>
      </c>
    </row>
    <row r="32" spans="1:4" ht="15">
      <c r="A32">
        <v>28</v>
      </c>
      <c r="B32" s="110" t="s">
        <v>169</v>
      </c>
      <c r="C32" s="110" t="s">
        <v>64</v>
      </c>
      <c r="D32" s="110">
        <v>17</v>
      </c>
    </row>
    <row r="33" spans="1:4" ht="15">
      <c r="A33">
        <v>29</v>
      </c>
      <c r="B33" s="110" t="s">
        <v>170</v>
      </c>
      <c r="C33" s="110" t="s">
        <v>66</v>
      </c>
      <c r="D33" s="110">
        <v>10</v>
      </c>
    </row>
    <row r="34" spans="1:4" ht="15">
      <c r="A34">
        <v>30</v>
      </c>
      <c r="B34" s="110" t="s">
        <v>171</v>
      </c>
      <c r="C34" s="110" t="s">
        <v>64</v>
      </c>
      <c r="D34" s="110">
        <v>11</v>
      </c>
    </row>
    <row r="35" spans="1:4" ht="15">
      <c r="A35">
        <v>31</v>
      </c>
      <c r="B35" t="s">
        <v>289</v>
      </c>
      <c r="C35" s="90" t="s">
        <v>64</v>
      </c>
      <c r="D35" s="90">
        <v>21</v>
      </c>
    </row>
    <row r="36" spans="1:4" ht="15">
      <c r="A36">
        <v>32</v>
      </c>
      <c r="B36" t="s">
        <v>290</v>
      </c>
      <c r="C36" s="90" t="s">
        <v>64</v>
      </c>
      <c r="D36" s="90">
        <v>29</v>
      </c>
    </row>
    <row r="37" spans="1:4" ht="15">
      <c r="A37">
        <v>33</v>
      </c>
      <c r="B37" t="s">
        <v>291</v>
      </c>
      <c r="C37" s="90" t="s">
        <v>64</v>
      </c>
      <c r="D37" s="90">
        <v>5</v>
      </c>
    </row>
    <row r="38" spans="1:4" ht="15">
      <c r="A38">
        <v>34</v>
      </c>
      <c r="B38" t="s">
        <v>292</v>
      </c>
      <c r="C38" s="90" t="s">
        <v>64</v>
      </c>
      <c r="D38" s="90">
        <v>29</v>
      </c>
    </row>
    <row r="39" spans="1:4" ht="15">
      <c r="A39">
        <v>35</v>
      </c>
      <c r="B39" t="s">
        <v>293</v>
      </c>
      <c r="C39" s="90" t="s">
        <v>64</v>
      </c>
      <c r="D39" s="90">
        <v>107</v>
      </c>
    </row>
    <row r="40" spans="1:4" ht="15">
      <c r="A40">
        <v>36</v>
      </c>
      <c r="B40" t="s">
        <v>294</v>
      </c>
      <c r="C40" s="90" t="s">
        <v>64</v>
      </c>
      <c r="D40" s="90">
        <v>13</v>
      </c>
    </row>
    <row r="41" spans="1:4" ht="15">
      <c r="A41">
        <v>37</v>
      </c>
      <c r="B41" t="s">
        <v>295</v>
      </c>
      <c r="C41" s="90" t="s">
        <v>64</v>
      </c>
      <c r="D41" s="90">
        <v>27</v>
      </c>
    </row>
    <row r="42" spans="1:4" ht="15">
      <c r="A42">
        <v>38</v>
      </c>
      <c r="B42" t="s">
        <v>296</v>
      </c>
      <c r="C42" s="90" t="s">
        <v>64</v>
      </c>
      <c r="D42" s="90">
        <v>38</v>
      </c>
    </row>
    <row r="43" spans="1:4" ht="15">
      <c r="A43">
        <v>39</v>
      </c>
      <c r="B43" s="90" t="s">
        <v>175</v>
      </c>
      <c r="C43" s="90" t="s">
        <v>64</v>
      </c>
      <c r="D43" s="90">
        <v>20</v>
      </c>
    </row>
    <row r="44" spans="1:4" ht="15">
      <c r="A44">
        <v>40</v>
      </c>
      <c r="B44" t="s">
        <v>297</v>
      </c>
      <c r="C44" s="90" t="s">
        <v>64</v>
      </c>
      <c r="D44" s="90">
        <v>17</v>
      </c>
    </row>
    <row r="45" spans="1:4" ht="15">
      <c r="A45">
        <v>41</v>
      </c>
      <c r="B45" t="s">
        <v>298</v>
      </c>
      <c r="C45" s="90" t="s">
        <v>64</v>
      </c>
      <c r="D45" s="90">
        <v>16</v>
      </c>
    </row>
    <row r="46" spans="1:4" ht="15">
      <c r="A46">
        <v>42</v>
      </c>
      <c r="B46" t="s">
        <v>299</v>
      </c>
      <c r="C46" s="90" t="s">
        <v>64</v>
      </c>
      <c r="D46" s="90">
        <v>31</v>
      </c>
    </row>
    <row r="47" spans="1:4" ht="15">
      <c r="A47">
        <v>43</v>
      </c>
      <c r="B47" t="s">
        <v>300</v>
      </c>
      <c r="C47" s="90" t="s">
        <v>64</v>
      </c>
      <c r="D47" s="90">
        <v>26</v>
      </c>
    </row>
    <row r="48" spans="1:4" ht="15">
      <c r="A48">
        <v>44</v>
      </c>
      <c r="B48" s="90" t="s">
        <v>176</v>
      </c>
      <c r="C48" s="90" t="s">
        <v>66</v>
      </c>
      <c r="D48" s="90">
        <v>25</v>
      </c>
    </row>
    <row r="49" spans="1:4" ht="15">
      <c r="A49">
        <v>45</v>
      </c>
      <c r="B49" s="90" t="s">
        <v>232</v>
      </c>
      <c r="C49" s="90" t="s">
        <v>64</v>
      </c>
      <c r="D49" s="90">
        <v>59</v>
      </c>
    </row>
    <row r="50" spans="1:4" ht="15">
      <c r="A50">
        <v>46</v>
      </c>
      <c r="B50" s="90" t="s">
        <v>177</v>
      </c>
      <c r="C50" s="90" t="s">
        <v>66</v>
      </c>
      <c r="D50" s="90">
        <v>13</v>
      </c>
    </row>
    <row r="51" spans="1:4" ht="15">
      <c r="A51">
        <v>47</v>
      </c>
      <c r="B51" s="90" t="s">
        <v>178</v>
      </c>
      <c r="C51" s="90" t="s">
        <v>66</v>
      </c>
      <c r="D51" s="90">
        <v>20</v>
      </c>
    </row>
    <row r="52" spans="1:4" ht="15">
      <c r="A52">
        <v>48</v>
      </c>
      <c r="B52" s="90" t="s">
        <v>179</v>
      </c>
      <c r="C52" s="90" t="s">
        <v>66</v>
      </c>
      <c r="D52" s="90">
        <v>15</v>
      </c>
    </row>
    <row r="53" spans="1:4" ht="15">
      <c r="A53">
        <v>49</v>
      </c>
      <c r="B53" s="90" t="s">
        <v>180</v>
      </c>
      <c r="C53" s="90" t="s">
        <v>66</v>
      </c>
      <c r="D53" s="90">
        <v>17</v>
      </c>
    </row>
    <row r="54" spans="1:4" ht="15">
      <c r="A54">
        <v>50</v>
      </c>
      <c r="B54" s="90" t="s">
        <v>181</v>
      </c>
      <c r="C54" s="90" t="s">
        <v>66</v>
      </c>
      <c r="D54" s="90">
        <v>10</v>
      </c>
    </row>
    <row r="55" spans="1:4" ht="15">
      <c r="A55">
        <v>51</v>
      </c>
      <c r="B55" s="90" t="s">
        <v>182</v>
      </c>
      <c r="C55" s="90" t="s">
        <v>66</v>
      </c>
      <c r="D55" s="90">
        <v>33</v>
      </c>
    </row>
    <row r="56" spans="1:4" ht="15">
      <c r="A56">
        <v>52</v>
      </c>
      <c r="B56" s="90" t="s">
        <v>183</v>
      </c>
      <c r="C56" s="90" t="s">
        <v>64</v>
      </c>
      <c r="D56" s="90">
        <v>19</v>
      </c>
    </row>
    <row r="57" spans="1:4" ht="15">
      <c r="A57">
        <v>53</v>
      </c>
      <c r="B57" s="90" t="s">
        <v>230</v>
      </c>
      <c r="C57" s="90" t="s">
        <v>64</v>
      </c>
      <c r="D57" s="90">
        <v>21</v>
      </c>
    </row>
    <row r="58" spans="1:4" ht="15">
      <c r="A58">
        <v>54</v>
      </c>
      <c r="B58" s="90" t="s">
        <v>184</v>
      </c>
      <c r="C58" s="90" t="s">
        <v>66</v>
      </c>
      <c r="D58" s="90">
        <v>20</v>
      </c>
    </row>
    <row r="59" spans="1:4" ht="15">
      <c r="A59">
        <v>55</v>
      </c>
      <c r="B59" s="90" t="s">
        <v>185</v>
      </c>
      <c r="C59" s="90" t="s">
        <v>66</v>
      </c>
      <c r="D59" s="90">
        <v>43</v>
      </c>
    </row>
    <row r="60" spans="1:4" ht="15">
      <c r="A60">
        <v>56</v>
      </c>
      <c r="B60" s="90" t="s">
        <v>186</v>
      </c>
      <c r="C60" s="90" t="s">
        <v>64</v>
      </c>
      <c r="D60" s="90">
        <v>12</v>
      </c>
    </row>
    <row r="61" spans="1:4" ht="15">
      <c r="A61">
        <v>57</v>
      </c>
      <c r="B61" s="90" t="s">
        <v>187</v>
      </c>
      <c r="C61" s="90" t="s">
        <v>66</v>
      </c>
      <c r="D61" s="90">
        <v>15</v>
      </c>
    </row>
    <row r="62" spans="1:4" ht="15">
      <c r="A62">
        <v>58</v>
      </c>
      <c r="B62" s="90" t="s">
        <v>188</v>
      </c>
      <c r="C62" s="90" t="s">
        <v>66</v>
      </c>
      <c r="D62" s="90">
        <v>24</v>
      </c>
    </row>
    <row r="63" spans="1:4" ht="15">
      <c r="A63">
        <v>59</v>
      </c>
      <c r="B63" s="90" t="s">
        <v>189</v>
      </c>
      <c r="C63" s="90" t="s">
        <v>66</v>
      </c>
      <c r="D63" s="90">
        <v>18</v>
      </c>
    </row>
    <row r="64" spans="1:4" ht="15">
      <c r="A64">
        <v>60</v>
      </c>
      <c r="B64" s="90" t="s">
        <v>190</v>
      </c>
      <c r="C64" s="90" t="s">
        <v>64</v>
      </c>
      <c r="D64" s="90">
        <v>20</v>
      </c>
    </row>
    <row r="65" spans="1:4" ht="15">
      <c r="A65">
        <v>61</v>
      </c>
      <c r="B65" s="90" t="s">
        <v>191</v>
      </c>
      <c r="C65" s="90" t="s">
        <v>66</v>
      </c>
      <c r="D65" s="90">
        <v>34</v>
      </c>
    </row>
    <row r="66" spans="1:4" ht="15">
      <c r="A66">
        <v>62</v>
      </c>
      <c r="B66" s="90" t="s">
        <v>192</v>
      </c>
      <c r="C66" s="90" t="s">
        <v>66</v>
      </c>
      <c r="D66" s="90">
        <v>9</v>
      </c>
    </row>
    <row r="67" spans="1:4" ht="15">
      <c r="A67">
        <v>63</v>
      </c>
      <c r="B67" s="90" t="s">
        <v>193</v>
      </c>
      <c r="C67" s="90" t="s">
        <v>64</v>
      </c>
      <c r="D67" s="90">
        <v>43</v>
      </c>
    </row>
    <row r="68" spans="1:4" ht="15">
      <c r="A68">
        <v>64</v>
      </c>
      <c r="B68" s="90" t="s">
        <v>194</v>
      </c>
      <c r="C68" s="90" t="s">
        <v>64</v>
      </c>
      <c r="D68" s="90">
        <v>7</v>
      </c>
    </row>
    <row r="69" spans="1:4" ht="15">
      <c r="A69">
        <v>65</v>
      </c>
      <c r="B69" s="90" t="s">
        <v>195</v>
      </c>
      <c r="C69" s="90" t="s">
        <v>64</v>
      </c>
      <c r="D69" s="90">
        <v>38</v>
      </c>
    </row>
    <row r="70" spans="1:4" ht="15">
      <c r="A70">
        <v>66</v>
      </c>
      <c r="B70" s="90" t="s">
        <v>196</v>
      </c>
      <c r="C70" s="90" t="s">
        <v>66</v>
      </c>
      <c r="D70" s="90">
        <v>10</v>
      </c>
    </row>
    <row r="71" spans="1:4" ht="15">
      <c r="A71">
        <v>67</v>
      </c>
      <c r="B71" s="90" t="s">
        <v>197</v>
      </c>
      <c r="C71" s="90" t="s">
        <v>66</v>
      </c>
      <c r="D71" s="90">
        <v>16</v>
      </c>
    </row>
    <row r="72" spans="1:4" ht="15">
      <c r="A72">
        <v>68</v>
      </c>
      <c r="B72" s="90" t="s">
        <v>198</v>
      </c>
      <c r="C72" s="90" t="s">
        <v>64</v>
      </c>
      <c r="D72" s="90">
        <v>23</v>
      </c>
    </row>
    <row r="73" spans="1:4" ht="15">
      <c r="A73">
        <v>69</v>
      </c>
      <c r="B73" s="90" t="s">
        <v>199</v>
      </c>
      <c r="C73" s="90" t="s">
        <v>64</v>
      </c>
      <c r="D73" s="90">
        <v>12</v>
      </c>
    </row>
    <row r="74" spans="1:4" ht="15">
      <c r="A74">
        <v>70</v>
      </c>
      <c r="B74" s="90" t="s">
        <v>200</v>
      </c>
      <c r="C74" s="90" t="s">
        <v>66</v>
      </c>
      <c r="D74" s="90">
        <v>10</v>
      </c>
    </row>
    <row r="75" spans="1:4" ht="15">
      <c r="A75">
        <v>71</v>
      </c>
      <c r="B75" s="90" t="s">
        <v>201</v>
      </c>
      <c r="C75" s="90" t="s">
        <v>66</v>
      </c>
      <c r="D75" s="90">
        <v>7</v>
      </c>
    </row>
    <row r="76" spans="1:4" ht="15">
      <c r="A76">
        <v>72</v>
      </c>
      <c r="B76" s="90" t="s">
        <v>202</v>
      </c>
      <c r="C76" s="90" t="s">
        <v>64</v>
      </c>
      <c r="D76" s="90">
        <v>68</v>
      </c>
    </row>
    <row r="77" spans="1:4" ht="15">
      <c r="A77">
        <v>73</v>
      </c>
      <c r="B77" s="90" t="s">
        <v>203</v>
      </c>
      <c r="C77" s="90" t="s">
        <v>64</v>
      </c>
      <c r="D77" s="90">
        <v>36</v>
      </c>
    </row>
    <row r="78" spans="1:4" ht="15">
      <c r="A78">
        <v>74</v>
      </c>
      <c r="B78" s="90" t="s">
        <v>204</v>
      </c>
      <c r="C78" s="90" t="s">
        <v>64</v>
      </c>
      <c r="D78" s="90">
        <v>20</v>
      </c>
    </row>
    <row r="79" spans="1:4" ht="15">
      <c r="A79">
        <v>75</v>
      </c>
      <c r="B79" s="90" t="s">
        <v>205</v>
      </c>
      <c r="C79" s="90" t="s">
        <v>64</v>
      </c>
      <c r="D79" s="90">
        <v>24</v>
      </c>
    </row>
    <row r="80" spans="1:4" ht="15">
      <c r="A80">
        <v>76</v>
      </c>
      <c r="B80" s="90" t="s">
        <v>206</v>
      </c>
      <c r="C80" s="90" t="s">
        <v>64</v>
      </c>
      <c r="D80" s="90">
        <v>75</v>
      </c>
    </row>
    <row r="81" spans="1:4" ht="15">
      <c r="A81">
        <v>77</v>
      </c>
      <c r="B81" s="90" t="s">
        <v>207</v>
      </c>
      <c r="C81" s="90" t="s">
        <v>64</v>
      </c>
      <c r="D81" s="90">
        <v>18</v>
      </c>
    </row>
    <row r="82" spans="1:4" ht="15">
      <c r="A82">
        <v>78</v>
      </c>
      <c r="B82" s="90" t="s">
        <v>208</v>
      </c>
      <c r="C82" s="90" t="s">
        <v>64</v>
      </c>
      <c r="D82" s="90">
        <v>15</v>
      </c>
    </row>
    <row r="83" spans="1:4" ht="15">
      <c r="A83">
        <v>79</v>
      </c>
      <c r="B83" s="90" t="s">
        <v>209</v>
      </c>
      <c r="C83" s="90" t="s">
        <v>64</v>
      </c>
      <c r="D83" s="90">
        <v>27</v>
      </c>
    </row>
    <row r="84" spans="1:4" ht="15">
      <c r="A84">
        <v>80</v>
      </c>
      <c r="B84" s="90" t="s">
        <v>210</v>
      </c>
      <c r="C84" s="90" t="s">
        <v>64</v>
      </c>
      <c r="D84" s="90">
        <v>10</v>
      </c>
    </row>
    <row r="85" spans="1:4" ht="15">
      <c r="A85">
        <v>81</v>
      </c>
      <c r="B85" s="90" t="s">
        <v>211</v>
      </c>
      <c r="C85" s="90" t="s">
        <v>66</v>
      </c>
      <c r="D85" s="90">
        <v>17</v>
      </c>
    </row>
    <row r="86" spans="1:4" ht="15">
      <c r="A86">
        <v>82</v>
      </c>
      <c r="B86" s="90" t="s">
        <v>212</v>
      </c>
      <c r="C86" s="90" t="s">
        <v>64</v>
      </c>
      <c r="D86" s="90">
        <v>43</v>
      </c>
    </row>
    <row r="87" spans="1:4" ht="15">
      <c r="A87">
        <v>83</v>
      </c>
      <c r="B87" s="90" t="s">
        <v>213</v>
      </c>
      <c r="C87" s="90" t="s">
        <v>66</v>
      </c>
      <c r="D87" s="90">
        <v>16</v>
      </c>
    </row>
    <row r="88" spans="1:4" ht="15">
      <c r="A88">
        <v>84</v>
      </c>
      <c r="B88" s="90" t="s">
        <v>214</v>
      </c>
      <c r="C88" s="90" t="s">
        <v>66</v>
      </c>
      <c r="D88" s="90">
        <v>8</v>
      </c>
    </row>
    <row r="89" spans="1:4" ht="15">
      <c r="A89">
        <v>85</v>
      </c>
      <c r="B89" s="90" t="s">
        <v>215</v>
      </c>
      <c r="C89" s="90" t="s">
        <v>64</v>
      </c>
      <c r="D89" s="90">
        <v>35</v>
      </c>
    </row>
    <row r="90" spans="1:4" ht="15">
      <c r="A90">
        <v>86</v>
      </c>
      <c r="B90" s="90" t="s">
        <v>216</v>
      </c>
      <c r="C90" s="90" t="s">
        <v>64</v>
      </c>
      <c r="D90" s="90">
        <v>22</v>
      </c>
    </row>
    <row r="91" spans="1:4" ht="15">
      <c r="A91">
        <v>87</v>
      </c>
      <c r="B91" s="90" t="s">
        <v>217</v>
      </c>
      <c r="C91" s="90" t="s">
        <v>66</v>
      </c>
      <c r="D91" s="90">
        <v>10</v>
      </c>
    </row>
    <row r="92" spans="1:4" ht="15">
      <c r="A92">
        <v>88</v>
      </c>
      <c r="B92" s="90" t="s">
        <v>218</v>
      </c>
      <c r="C92" s="90" t="s">
        <v>66</v>
      </c>
      <c r="D92" s="90">
        <v>30</v>
      </c>
    </row>
    <row r="93" spans="1:4" ht="15">
      <c r="A93">
        <v>89</v>
      </c>
      <c r="B93" s="90" t="s">
        <v>219</v>
      </c>
      <c r="C93" s="90" t="s">
        <v>64</v>
      </c>
      <c r="D93" s="90">
        <v>35</v>
      </c>
    </row>
    <row r="94" spans="1:4" ht="15">
      <c r="A94">
        <v>90</v>
      </c>
      <c r="B94" s="90" t="s">
        <v>220</v>
      </c>
      <c r="C94" s="90" t="s">
        <v>66</v>
      </c>
      <c r="D94" s="90">
        <v>62</v>
      </c>
    </row>
    <row r="95" spans="1:4" ht="15">
      <c r="A95">
        <v>91</v>
      </c>
      <c r="B95" s="90" t="s">
        <v>221</v>
      </c>
      <c r="C95" s="90" t="s">
        <v>66</v>
      </c>
      <c r="D95" s="90">
        <v>16</v>
      </c>
    </row>
    <row r="96" spans="1:4" ht="15">
      <c r="A96">
        <v>92</v>
      </c>
      <c r="B96" s="90" t="s">
        <v>222</v>
      </c>
      <c r="C96" s="90" t="s">
        <v>64</v>
      </c>
      <c r="D96" s="90">
        <v>30</v>
      </c>
    </row>
    <row r="97" spans="1:4" ht="15">
      <c r="A97">
        <v>93</v>
      </c>
      <c r="B97" s="90" t="s">
        <v>223</v>
      </c>
      <c r="C97" s="90" t="s">
        <v>64</v>
      </c>
      <c r="D97" s="90">
        <v>34</v>
      </c>
    </row>
    <row r="98" spans="1:4" ht="15">
      <c r="A98">
        <v>94</v>
      </c>
      <c r="B98" s="90" t="s">
        <v>224</v>
      </c>
      <c r="C98" s="90" t="s">
        <v>64</v>
      </c>
      <c r="D98" s="90">
        <v>14</v>
      </c>
    </row>
    <row r="99" spans="1:4" ht="15">
      <c r="A99">
        <v>95</v>
      </c>
      <c r="B99" s="90" t="s">
        <v>225</v>
      </c>
      <c r="C99" s="90" t="s">
        <v>66</v>
      </c>
      <c r="D99" s="90">
        <v>11</v>
      </c>
    </row>
    <row r="100" spans="1:4" ht="15">
      <c r="A100">
        <v>96</v>
      </c>
      <c r="B100" s="90" t="s">
        <v>231</v>
      </c>
      <c r="C100" s="90" t="s">
        <v>64</v>
      </c>
      <c r="D100" s="90">
        <v>20</v>
      </c>
    </row>
    <row r="101" spans="1:4" ht="15">
      <c r="A101">
        <v>97</v>
      </c>
      <c r="B101" t="s">
        <v>226</v>
      </c>
      <c r="C101" s="90" t="s">
        <v>64</v>
      </c>
      <c r="D101" s="90">
        <v>41</v>
      </c>
    </row>
    <row r="102" spans="1:4" ht="15">
      <c r="A102">
        <v>98</v>
      </c>
      <c r="B102" s="110" t="s">
        <v>175</v>
      </c>
      <c r="C102" s="90" t="s">
        <v>64</v>
      </c>
      <c r="D102" s="90">
        <v>20</v>
      </c>
    </row>
    <row r="103" spans="1:4" ht="15">
      <c r="A103">
        <v>99</v>
      </c>
      <c r="B103" s="110" t="s">
        <v>227</v>
      </c>
      <c r="C103" s="90" t="s">
        <v>64</v>
      </c>
      <c r="D103" s="90">
        <v>43</v>
      </c>
    </row>
    <row r="104" spans="1:4" ht="15">
      <c r="A104">
        <v>100</v>
      </c>
      <c r="B104" s="110" t="s">
        <v>228</v>
      </c>
      <c r="C104" s="90" t="s">
        <v>64</v>
      </c>
      <c r="D104" s="90">
        <v>22</v>
      </c>
    </row>
    <row r="105" spans="1:4" ht="15">
      <c r="A105">
        <v>101</v>
      </c>
      <c r="B105" t="s">
        <v>229</v>
      </c>
      <c r="C105" s="90" t="s">
        <v>64</v>
      </c>
      <c r="D105" s="90">
        <v>34</v>
      </c>
    </row>
  </sheetData>
  <mergeCells count="2">
    <mergeCell ref="F2:H2"/>
    <mergeCell ref="K2:M2"/>
  </mergeCells>
  <printOptions/>
  <pageMargins left="0.7" right="0.7" top="0.75" bottom="0.75" header="0.3" footer="0.3"/>
  <pageSetup horizontalDpi="600" verticalDpi="600" orientation="portrait" paperSize="9"/>
  <legacyDrawing r:id="rId2"/>
  <tableParts>
    <tablePart r:id="rId4"/>
    <tablePart r:id="rId5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 topLeftCell="A1">
      <selection activeCell="N9" sqref="N9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5" max="5" width="17.00390625" style="0" customWidth="1"/>
    <col min="6" max="6" width="11.421875" style="0" bestFit="1" customWidth="1"/>
    <col min="8" max="8" width="23.140625" style="0" customWidth="1"/>
    <col min="10" max="10" width="10.140625" style="0" customWidth="1"/>
    <col min="11" max="11" width="3.421875" style="0" customWidth="1"/>
    <col min="12" max="12" width="3.140625" style="0" customWidth="1"/>
    <col min="13" max="13" width="34.28125" style="0" customWidth="1"/>
    <col min="15" max="15" width="11.7109375" style="0" customWidth="1"/>
  </cols>
  <sheetData>
    <row r="1" ht="15.75" thickBot="1"/>
    <row r="2" spans="2:15" ht="32.25" thickTop="1">
      <c r="B2" s="89">
        <v>2009</v>
      </c>
      <c r="H2" s="273" t="s">
        <v>140</v>
      </c>
      <c r="I2" s="274"/>
      <c r="J2" s="275"/>
      <c r="M2" s="273" t="s">
        <v>141</v>
      </c>
      <c r="N2" s="274"/>
      <c r="O2" s="275"/>
    </row>
    <row r="3" spans="8:15" ht="15">
      <c r="H3" s="95"/>
      <c r="I3" s="90"/>
      <c r="J3" s="96"/>
      <c r="M3" s="95"/>
      <c r="N3" s="90"/>
      <c r="O3" s="96"/>
    </row>
    <row r="4" spans="2:15" ht="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 ht="15">
      <c r="B5" t="s">
        <v>96</v>
      </c>
      <c r="C5" t="s">
        <v>66</v>
      </c>
      <c r="D5">
        <v>4</v>
      </c>
      <c r="E5">
        <v>2</v>
      </c>
      <c r="F5" s="88">
        <f>Tabla689[[#This Row],[Texto completo]]/Tabla689[[#This Row],[Referencias]]</f>
        <v>0.5</v>
      </c>
      <c r="H5" s="95" t="s">
        <v>127</v>
      </c>
      <c r="I5" s="94">
        <f>STDEV(D5:D34)</f>
        <v>14.097403364066565</v>
      </c>
      <c r="J5" s="96"/>
      <c r="M5" s="95" t="s">
        <v>138</v>
      </c>
      <c r="N5" s="94">
        <f>Tabla689[[#Totals],[Texto completo]]/Tabla689[[#Totals],[Referencias]]</f>
        <v>0.5523329129886507</v>
      </c>
      <c r="O5" s="96"/>
    </row>
    <row r="6" spans="2:15" ht="15">
      <c r="B6" t="s">
        <v>97</v>
      </c>
      <c r="C6" t="s">
        <v>64</v>
      </c>
      <c r="D6">
        <v>29</v>
      </c>
      <c r="E6">
        <v>18</v>
      </c>
      <c r="F6" s="88">
        <f>Tabla689[[#This Row],[Texto completo]]/Tabla689[[#This Row],[Referencias]]</f>
        <v>0.6206896551724138</v>
      </c>
      <c r="H6" s="95"/>
      <c r="I6" s="90"/>
      <c r="J6" s="96"/>
      <c r="M6" s="95"/>
      <c r="N6" s="90"/>
      <c r="O6" s="96"/>
    </row>
    <row r="7" spans="2:15" ht="15">
      <c r="B7" t="s">
        <v>98</v>
      </c>
      <c r="C7" t="s">
        <v>64</v>
      </c>
      <c r="D7">
        <v>48</v>
      </c>
      <c r="E7">
        <v>7</v>
      </c>
      <c r="F7" s="88">
        <f>Tabla689[[#This Row],[Texto completo]]/Tabla689[[#This Row],[Referencias]]</f>
        <v>0.14583333333333334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 ht="15">
      <c r="B8" t="s">
        <v>99</v>
      </c>
      <c r="C8" t="s">
        <v>64</v>
      </c>
      <c r="D8">
        <v>41</v>
      </c>
      <c r="E8">
        <v>15</v>
      </c>
      <c r="F8" s="88">
        <f>Tabla689[[#This Row],[Texto completo]]/Tabla689[[#This Row],[Referencias]]</f>
        <v>0.36585365853658536</v>
      </c>
      <c r="H8" s="95"/>
      <c r="I8" s="90"/>
      <c r="J8" s="96"/>
      <c r="M8" s="95"/>
      <c r="N8" s="90"/>
      <c r="O8" s="96"/>
    </row>
    <row r="9" spans="2:15" ht="15">
      <c r="B9" t="s">
        <v>100</v>
      </c>
      <c r="C9" t="s">
        <v>64</v>
      </c>
      <c r="D9">
        <v>46</v>
      </c>
      <c r="E9">
        <v>25</v>
      </c>
      <c r="F9" s="88">
        <f>Tabla689[[#This Row],[Texto completo]]/Tabla689[[#This Row],[Referencias]]</f>
        <v>0.5434782608695652</v>
      </c>
      <c r="H9" s="95" t="s">
        <v>129</v>
      </c>
      <c r="I9" s="90">
        <v>5.1</v>
      </c>
      <c r="J9" s="96"/>
      <c r="M9" s="95" t="s">
        <v>129</v>
      </c>
      <c r="N9" s="90">
        <v>0.037</v>
      </c>
      <c r="O9" s="96"/>
    </row>
    <row r="10" spans="2:15" ht="15">
      <c r="B10" t="s">
        <v>101</v>
      </c>
      <c r="C10" t="s">
        <v>66</v>
      </c>
      <c r="D10">
        <v>18</v>
      </c>
      <c r="E10">
        <v>8</v>
      </c>
      <c r="F10" s="88">
        <f>Tabla689[[#This Row],[Texto completo]]/Tabla689[[#This Row],[Referencias]]</f>
        <v>0.4444444444444444</v>
      </c>
      <c r="H10" s="95"/>
      <c r="I10" s="90"/>
      <c r="J10" s="96"/>
      <c r="M10" s="95"/>
      <c r="N10" s="90"/>
      <c r="O10" s="96"/>
    </row>
    <row r="11" spans="2:15" ht="15">
      <c r="B11" t="s">
        <v>102</v>
      </c>
      <c r="C11" t="s">
        <v>64</v>
      </c>
      <c r="D11">
        <v>29</v>
      </c>
      <c r="E11">
        <v>15</v>
      </c>
      <c r="F11" s="88">
        <f>Tabla689[[#This Row],[Texto completo]]/Tabla689[[#This Row],[Referencias]]</f>
        <v>0.5172413793103449</v>
      </c>
      <c r="H11" s="95" t="s">
        <v>130</v>
      </c>
      <c r="I11" s="91">
        <f>((I7*I7)*(I5*I5))/(I9*I9)</f>
        <v>29.352834303340437</v>
      </c>
      <c r="J11" s="96"/>
      <c r="M11" s="95" t="s">
        <v>130</v>
      </c>
      <c r="N11" s="91">
        <f>((N7*N7)*N5*(1-N5))/(N9*N9)</f>
        <v>693.8487073071868</v>
      </c>
      <c r="O11" s="96"/>
    </row>
    <row r="12" spans="2:15" ht="15">
      <c r="B12" t="s">
        <v>103</v>
      </c>
      <c r="C12" t="s">
        <v>64</v>
      </c>
      <c r="D12">
        <v>22</v>
      </c>
      <c r="E12">
        <v>16</v>
      </c>
      <c r="F12" s="88">
        <f>Tabla689[[#This Row],[Texto completo]]/Tabla689[[#This Row],[Referencias]]</f>
        <v>0.7272727272727273</v>
      </c>
      <c r="H12" s="95"/>
      <c r="I12" s="90"/>
      <c r="J12" s="96"/>
      <c r="M12" s="95"/>
      <c r="N12" s="90"/>
      <c r="O12" s="96"/>
    </row>
    <row r="13" spans="2:15" ht="15">
      <c r="B13" t="s">
        <v>104</v>
      </c>
      <c r="C13" t="s">
        <v>64</v>
      </c>
      <c r="D13">
        <v>20</v>
      </c>
      <c r="E13">
        <v>15</v>
      </c>
      <c r="F13" s="88">
        <f>Tabla689[[#This Row],[Texto completo]]/Tabla689[[#This Row],[Referencias]]</f>
        <v>0.75</v>
      </c>
      <c r="H13" s="95"/>
      <c r="I13" s="90"/>
      <c r="J13" s="96"/>
      <c r="M13" s="95"/>
      <c r="N13" s="90"/>
      <c r="O13" s="96"/>
    </row>
    <row r="14" spans="2:15" ht="15">
      <c r="B14" t="s">
        <v>105</v>
      </c>
      <c r="C14" t="s">
        <v>66</v>
      </c>
      <c r="D14">
        <v>15</v>
      </c>
      <c r="E14">
        <v>4</v>
      </c>
      <c r="F14" s="88">
        <f>Tabla689[[#This Row],[Texto completo]]/Tabla689[[#This Row],[Referencias]]</f>
        <v>0.26666666666666666</v>
      </c>
      <c r="H14" s="95"/>
      <c r="I14" s="90"/>
      <c r="J14" s="96"/>
      <c r="M14" s="95"/>
      <c r="N14" s="90"/>
      <c r="O14" s="96"/>
    </row>
    <row r="15" spans="2:15" ht="15">
      <c r="B15" t="s">
        <v>106</v>
      </c>
      <c r="C15" t="s">
        <v>64</v>
      </c>
      <c r="D15">
        <v>22</v>
      </c>
      <c r="E15">
        <v>14</v>
      </c>
      <c r="F15" s="88">
        <f>Tabla689[[#This Row],[Texto completo]]/Tabla689[[#This Row],[Referencias]]</f>
        <v>0.6363636363636364</v>
      </c>
      <c r="H15" s="95"/>
      <c r="I15" s="90"/>
      <c r="J15" s="96"/>
      <c r="M15" s="95"/>
      <c r="N15" s="90"/>
      <c r="O15" s="96"/>
    </row>
    <row r="16" spans="2:15" ht="15">
      <c r="B16" t="s">
        <v>107</v>
      </c>
      <c r="C16" t="s">
        <v>64</v>
      </c>
      <c r="D16">
        <v>31</v>
      </c>
      <c r="E16">
        <v>29</v>
      </c>
      <c r="F16" s="88">
        <f>Tabla689[[#This Row],[Texto completo]]/Tabla689[[#This Row],[Referencias]]</f>
        <v>0.9354838709677419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 ht="15">
      <c r="B17" t="s">
        <v>108</v>
      </c>
      <c r="C17" t="s">
        <v>64</v>
      </c>
      <c r="D17">
        <v>59</v>
      </c>
      <c r="E17">
        <v>37</v>
      </c>
      <c r="F17" s="88">
        <f>Tabla689[[#This Row],[Texto completo]]/Tabla689[[#This Row],[Referencias]]</f>
        <v>0.6271186440677966</v>
      </c>
      <c r="H17" s="95" t="s">
        <v>131</v>
      </c>
      <c r="I17" s="91">
        <f>AVERAGE(Tabla689[Referencias])</f>
        <v>26.433333333333334</v>
      </c>
      <c r="J17" s="96"/>
      <c r="M17" s="95" t="s">
        <v>138</v>
      </c>
      <c r="N17" s="94">
        <f>N5</f>
        <v>0.5523329129886507</v>
      </c>
      <c r="O17" s="96"/>
    </row>
    <row r="18" spans="2:15" ht="15">
      <c r="B18" t="s">
        <v>109</v>
      </c>
      <c r="C18" t="s">
        <v>66</v>
      </c>
      <c r="D18">
        <v>12</v>
      </c>
      <c r="E18">
        <v>11</v>
      </c>
      <c r="F18" s="88">
        <f>Tabla689[[#This Row],[Texto completo]]/Tabla689[[#This Row],[Referencias]]</f>
        <v>0.9166666666666666</v>
      </c>
      <c r="H18" s="95"/>
      <c r="I18" s="90"/>
      <c r="J18" s="96"/>
      <c r="M18" s="95"/>
      <c r="N18" s="90"/>
      <c r="O18" s="96"/>
    </row>
    <row r="19" spans="2:15" ht="15">
      <c r="B19" t="s">
        <v>110</v>
      </c>
      <c r="C19" t="s">
        <v>64</v>
      </c>
      <c r="D19">
        <v>34</v>
      </c>
      <c r="E19">
        <v>5</v>
      </c>
      <c r="F19" s="88">
        <f>Tabla689[[#This Row],[Texto completo]]/Tabla689[[#This Row],[Referencias]]</f>
        <v>0.14705882352941177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 ht="15">
      <c r="B20" t="s">
        <v>111</v>
      </c>
      <c r="C20" t="s">
        <v>66</v>
      </c>
      <c r="D20">
        <v>9</v>
      </c>
      <c r="E20">
        <v>5</v>
      </c>
      <c r="F20" s="88">
        <f>Tabla689[[#This Row],[Texto completo]]/Tabla689[[#This Row],[Referencias]]</f>
        <v>0.5555555555555556</v>
      </c>
      <c r="H20" s="95"/>
      <c r="I20" s="90"/>
      <c r="J20" s="96"/>
      <c r="M20" s="95"/>
      <c r="N20" s="90"/>
      <c r="O20" s="96"/>
    </row>
    <row r="21" spans="2:15" ht="15">
      <c r="B21" t="s">
        <v>112</v>
      </c>
      <c r="C21" t="s">
        <v>66</v>
      </c>
      <c r="D21">
        <v>10</v>
      </c>
      <c r="E21">
        <v>4</v>
      </c>
      <c r="F21" s="88">
        <f>Tabla689[[#This Row],[Texto completo]]/Tabla689[[#This Row],[Referencias]]</f>
        <v>0.4</v>
      </c>
      <c r="H21" s="95" t="s">
        <v>133</v>
      </c>
      <c r="I21" s="91">
        <f>I5/SQRT(30)</f>
        <v>2.573821941582824</v>
      </c>
      <c r="J21" s="96"/>
      <c r="M21" s="95" t="s">
        <v>139</v>
      </c>
      <c r="N21" s="94">
        <f>SQRT($N$17*(1-$N$17)/Tabla689[[#Totals],[Referencias]])</f>
        <v>0.017657997492147543</v>
      </c>
      <c r="O21" s="96"/>
    </row>
    <row r="22" spans="2:15" ht="15">
      <c r="B22" t="s">
        <v>113</v>
      </c>
      <c r="C22" t="s">
        <v>66</v>
      </c>
      <c r="D22">
        <v>23</v>
      </c>
      <c r="E22">
        <v>9</v>
      </c>
      <c r="F22" s="88">
        <f>Tabla689[[#This Row],[Texto completo]]/Tabla689[[#This Row],[Referencias]]</f>
        <v>0.391304347826087</v>
      </c>
      <c r="H22" s="95"/>
      <c r="I22" s="90"/>
      <c r="J22" s="96"/>
      <c r="M22" s="95"/>
      <c r="N22" s="90"/>
      <c r="O22" s="96"/>
    </row>
    <row r="23" spans="2:15" ht="15.75" thickBot="1">
      <c r="B23" t="s">
        <v>114</v>
      </c>
      <c r="C23" t="s">
        <v>64</v>
      </c>
      <c r="D23">
        <v>29</v>
      </c>
      <c r="E23">
        <v>11</v>
      </c>
      <c r="F23" s="88">
        <f>Tabla689[[#This Row],[Texto completo]]/Tabla689[[#This Row],[Referencias]]</f>
        <v>0.3793103448275862</v>
      </c>
      <c r="H23" s="97" t="s">
        <v>134</v>
      </c>
      <c r="I23" s="98">
        <f>$I$17-$I$19*$I$21</f>
        <v>21.388642327831</v>
      </c>
      <c r="J23" s="99">
        <f>$I$17+$I$19*$I$21</f>
        <v>31.478024338835667</v>
      </c>
      <c r="K23" s="92"/>
      <c r="M23" s="97" t="s">
        <v>132</v>
      </c>
      <c r="N23" s="98">
        <f>$N$17-$N$19*N21</f>
        <v>0.5177232379040415</v>
      </c>
      <c r="O23" s="99">
        <f>$N$17+$N$19*$N$21</f>
        <v>0.5869425880732599</v>
      </c>
    </row>
    <row r="24" spans="2:6" ht="15.75" thickTop="1">
      <c r="B24" t="s">
        <v>115</v>
      </c>
      <c r="C24" t="s">
        <v>64</v>
      </c>
      <c r="D24">
        <v>20</v>
      </c>
      <c r="E24">
        <v>9</v>
      </c>
      <c r="F24" s="88">
        <f>Tabla689[[#This Row],[Texto completo]]/Tabla689[[#This Row],[Referencias]]</f>
        <v>0.45</v>
      </c>
    </row>
    <row r="25" spans="2:6" ht="15">
      <c r="B25" t="s">
        <v>116</v>
      </c>
      <c r="C25" t="s">
        <v>64</v>
      </c>
      <c r="D25">
        <v>39</v>
      </c>
      <c r="E25">
        <v>25</v>
      </c>
      <c r="F25" s="88">
        <f>Tabla689[[#This Row],[Texto completo]]/Tabla689[[#This Row],[Referencias]]</f>
        <v>0.6410256410256411</v>
      </c>
    </row>
    <row r="26" spans="2:6" ht="15">
      <c r="B26" t="s">
        <v>117</v>
      </c>
      <c r="C26" t="s">
        <v>66</v>
      </c>
      <c r="D26">
        <v>22</v>
      </c>
      <c r="E26">
        <v>17</v>
      </c>
      <c r="F26" s="88">
        <f>Tabla689[[#This Row],[Texto completo]]/Tabla689[[#This Row],[Referencias]]</f>
        <v>0.7727272727272727</v>
      </c>
    </row>
    <row r="27" spans="2:6" ht="15">
      <c r="B27" t="s">
        <v>118</v>
      </c>
      <c r="C27" t="s">
        <v>64</v>
      </c>
      <c r="D27">
        <v>32</v>
      </c>
      <c r="E27">
        <v>14</v>
      </c>
      <c r="F27" s="88">
        <f>Tabla689[[#This Row],[Texto completo]]/Tabla689[[#This Row],[Referencias]]</f>
        <v>0.4375</v>
      </c>
    </row>
    <row r="28" spans="2:6" ht="15">
      <c r="B28" t="s">
        <v>119</v>
      </c>
      <c r="C28" t="s">
        <v>64</v>
      </c>
      <c r="D28">
        <v>42</v>
      </c>
      <c r="E28">
        <v>33</v>
      </c>
      <c r="F28" s="88">
        <f>Tabla689[[#This Row],[Texto completo]]/Tabla689[[#This Row],[Referencias]]</f>
        <v>0.7857142857142857</v>
      </c>
    </row>
    <row r="29" spans="2:6" ht="15">
      <c r="B29" t="s">
        <v>120</v>
      </c>
      <c r="C29" t="s">
        <v>64</v>
      </c>
      <c r="D29">
        <v>10</v>
      </c>
      <c r="E29">
        <v>9</v>
      </c>
      <c r="F29" s="88">
        <f>Tabla689[[#This Row],[Texto completo]]/Tabla689[[#This Row],[Referencias]]</f>
        <v>0.9</v>
      </c>
    </row>
    <row r="30" spans="2:6" ht="15">
      <c r="B30" t="s">
        <v>121</v>
      </c>
      <c r="C30" t="s">
        <v>64</v>
      </c>
      <c r="D30">
        <v>21</v>
      </c>
      <c r="E30">
        <v>15</v>
      </c>
      <c r="F30" s="88">
        <f>Tabla689[[#This Row],[Texto completo]]/Tabla689[[#This Row],[Referencias]]</f>
        <v>0.7142857142857143</v>
      </c>
    </row>
    <row r="31" spans="2:6" ht="15">
      <c r="B31" t="s">
        <v>122</v>
      </c>
      <c r="C31" t="s">
        <v>66</v>
      </c>
      <c r="D31">
        <v>11</v>
      </c>
      <c r="E31">
        <v>6</v>
      </c>
      <c r="F31" s="88">
        <f>Tabla689[[#This Row],[Texto completo]]/Tabla689[[#This Row],[Referencias]]</f>
        <v>0.5454545454545454</v>
      </c>
    </row>
    <row r="32" spans="2:6" ht="15">
      <c r="B32" t="s">
        <v>123</v>
      </c>
      <c r="C32" t="s">
        <v>64</v>
      </c>
      <c r="D32">
        <v>46</v>
      </c>
      <c r="E32">
        <v>34</v>
      </c>
      <c r="F32" s="88">
        <f>Tabla689[[#This Row],[Texto completo]]/Tabla689[[#This Row],[Referencias]]</f>
        <v>0.7391304347826086</v>
      </c>
    </row>
    <row r="33" spans="2:6" ht="15">
      <c r="B33" t="s">
        <v>124</v>
      </c>
      <c r="C33" t="s">
        <v>64</v>
      </c>
      <c r="D33">
        <v>41</v>
      </c>
      <c r="E33">
        <v>24</v>
      </c>
      <c r="F33" s="88">
        <f>Tabla689[[#This Row],[Texto completo]]/Tabla689[[#This Row],[Referencias]]</f>
        <v>0.5853658536585366</v>
      </c>
    </row>
    <row r="34" spans="2:6" ht="15">
      <c r="B34" t="s">
        <v>125</v>
      </c>
      <c r="C34" t="s">
        <v>66</v>
      </c>
      <c r="D34">
        <v>8</v>
      </c>
      <c r="E34">
        <v>2</v>
      </c>
      <c r="F34" s="88">
        <f>Tabla689[[#This Row],[Texto completo]]/Tabla689[[#This Row],[Referencias]]</f>
        <v>0.25</v>
      </c>
    </row>
    <row r="35" spans="2:6" ht="15">
      <c r="B35" s="90"/>
      <c r="C35" s="90"/>
      <c r="D35" s="90">
        <f>SUM([Referencias])</f>
        <v>793</v>
      </c>
      <c r="E35" s="90">
        <f>SUM([Texto completo])</f>
        <v>438</v>
      </c>
      <c r="F35" s="91">
        <f>SUBTOTAL(101,[Porcentaje])</f>
        <v>0.556384858768639</v>
      </c>
    </row>
  </sheetData>
  <mergeCells count="2">
    <mergeCell ref="H2:J2"/>
    <mergeCell ref="M2:O2"/>
  </mergeCells>
  <printOptions/>
  <pageMargins left="0.7" right="0.7" top="0.75" bottom="0.75" header="0.3" footer="0.3"/>
  <pageSetup horizontalDpi="600" verticalDpi="600" orientation="portrait" paperSize="9"/>
  <tableParts>
    <tablePart r:id="rId4"/>
    <tablePart r:id="rId5"/>
    <tablePart r:id="rId3"/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2"/>
  <sheetViews>
    <sheetView workbookViewId="0" topLeftCell="A16">
      <selection activeCell="G23" sqref="G23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6" max="6" width="23.140625" style="0" customWidth="1"/>
    <col min="8" max="8" width="10.140625" style="0" customWidth="1"/>
    <col min="9" max="9" width="3.421875" style="0" customWidth="1"/>
    <col min="10" max="10" width="3.140625" style="0" customWidth="1"/>
    <col min="11" max="11" width="34.28125" style="0" customWidth="1"/>
    <col min="13" max="13" width="11.7109375" style="0" customWidth="1"/>
  </cols>
  <sheetData>
    <row r="1" ht="15.75" thickBot="1"/>
    <row r="2" spans="2:13" ht="32.25" thickTop="1">
      <c r="B2" s="89">
        <v>2009</v>
      </c>
      <c r="F2" s="273" t="s">
        <v>140</v>
      </c>
      <c r="G2" s="274"/>
      <c r="H2" s="275"/>
      <c r="K2" s="276"/>
      <c r="L2" s="276"/>
      <c r="M2" s="276"/>
    </row>
    <row r="3" spans="6:8" ht="15">
      <c r="F3" s="95"/>
      <c r="G3" s="90"/>
      <c r="H3" s="96"/>
    </row>
    <row r="4" spans="2:8" ht="15">
      <c r="B4" s="1" t="s">
        <v>60</v>
      </c>
      <c r="C4" s="1" t="s">
        <v>63</v>
      </c>
      <c r="D4" s="1" t="s">
        <v>61</v>
      </c>
      <c r="F4" s="95" t="s">
        <v>137</v>
      </c>
      <c r="G4" s="90" t="s">
        <v>136</v>
      </c>
      <c r="H4" s="96"/>
    </row>
    <row r="5" spans="1:8" ht="15">
      <c r="A5">
        <v>1</v>
      </c>
      <c r="B5" t="s">
        <v>96</v>
      </c>
      <c r="C5" t="s">
        <v>66</v>
      </c>
      <c r="D5">
        <v>4</v>
      </c>
      <c r="F5" s="95" t="s">
        <v>127</v>
      </c>
      <c r="G5" s="94">
        <f>STDEV(D5:D34)</f>
        <v>14.097403364066565</v>
      </c>
      <c r="H5" s="96"/>
    </row>
    <row r="6" spans="1:8" ht="15">
      <c r="A6">
        <v>2</v>
      </c>
      <c r="B6" t="s">
        <v>97</v>
      </c>
      <c r="C6" t="s">
        <v>64</v>
      </c>
      <c r="D6">
        <v>29</v>
      </c>
      <c r="F6" s="95"/>
      <c r="G6" s="90"/>
      <c r="H6" s="96"/>
    </row>
    <row r="7" spans="1:8" ht="15">
      <c r="A7">
        <v>3</v>
      </c>
      <c r="B7" t="s">
        <v>98</v>
      </c>
      <c r="C7" t="s">
        <v>64</v>
      </c>
      <c r="D7">
        <v>48</v>
      </c>
      <c r="F7" s="95" t="s">
        <v>128</v>
      </c>
      <c r="G7" s="90">
        <v>1.96</v>
      </c>
      <c r="H7" s="96"/>
    </row>
    <row r="8" spans="1:8" ht="15">
      <c r="A8">
        <v>4</v>
      </c>
      <c r="B8" t="s">
        <v>99</v>
      </c>
      <c r="C8" t="s">
        <v>64</v>
      </c>
      <c r="D8">
        <v>41</v>
      </c>
      <c r="F8" s="95"/>
      <c r="G8" s="90"/>
      <c r="H8" s="96"/>
    </row>
    <row r="9" spans="1:8" ht="15">
      <c r="A9">
        <v>5</v>
      </c>
      <c r="B9" t="s">
        <v>100</v>
      </c>
      <c r="C9" t="s">
        <v>64</v>
      </c>
      <c r="D9">
        <v>46</v>
      </c>
      <c r="F9" s="95" t="s">
        <v>129</v>
      </c>
      <c r="G9" s="90">
        <v>4</v>
      </c>
      <c r="H9" s="96"/>
    </row>
    <row r="10" spans="1:8" ht="15">
      <c r="A10">
        <v>6</v>
      </c>
      <c r="B10" t="s">
        <v>101</v>
      </c>
      <c r="C10" t="s">
        <v>66</v>
      </c>
      <c r="D10">
        <v>18</v>
      </c>
      <c r="F10" s="95"/>
      <c r="G10" s="90"/>
      <c r="H10" s="96"/>
    </row>
    <row r="11" spans="1:8" ht="15">
      <c r="A11">
        <v>7</v>
      </c>
      <c r="B11" t="s">
        <v>102</v>
      </c>
      <c r="C11" t="s">
        <v>64</v>
      </c>
      <c r="D11">
        <v>29</v>
      </c>
      <c r="F11" s="95" t="s">
        <v>130</v>
      </c>
      <c r="G11" s="91">
        <f>((G7*G7)*(G5*G5))/(G9*G9)</f>
        <v>47.71670126436779</v>
      </c>
      <c r="H11" s="96"/>
    </row>
    <row r="12" spans="1:8" ht="15">
      <c r="A12">
        <v>8</v>
      </c>
      <c r="B12" t="s">
        <v>103</v>
      </c>
      <c r="C12" t="s">
        <v>64</v>
      </c>
      <c r="D12">
        <v>22</v>
      </c>
      <c r="F12" s="95"/>
      <c r="G12" s="90"/>
      <c r="H12" s="96"/>
    </row>
    <row r="13" spans="1:8" ht="15">
      <c r="A13">
        <v>9</v>
      </c>
      <c r="B13" t="s">
        <v>104</v>
      </c>
      <c r="C13" t="s">
        <v>64</v>
      </c>
      <c r="D13">
        <v>20</v>
      </c>
      <c r="F13" s="95"/>
      <c r="G13" s="90"/>
      <c r="H13" s="96"/>
    </row>
    <row r="14" spans="1:8" ht="15">
      <c r="A14">
        <v>10</v>
      </c>
      <c r="B14" t="s">
        <v>105</v>
      </c>
      <c r="C14" t="s">
        <v>66</v>
      </c>
      <c r="D14">
        <v>15</v>
      </c>
      <c r="F14" s="95"/>
      <c r="G14" s="90"/>
      <c r="H14" s="96"/>
    </row>
    <row r="15" spans="1:8" ht="15">
      <c r="A15">
        <v>11</v>
      </c>
      <c r="B15" t="s">
        <v>106</v>
      </c>
      <c r="C15" t="s">
        <v>64</v>
      </c>
      <c r="D15">
        <v>22</v>
      </c>
      <c r="F15" s="95"/>
      <c r="G15" s="90"/>
      <c r="H15" s="96"/>
    </row>
    <row r="16" spans="1:8" ht="15">
      <c r="A16">
        <v>12</v>
      </c>
      <c r="B16" t="s">
        <v>107</v>
      </c>
      <c r="C16" t="s">
        <v>64</v>
      </c>
      <c r="D16">
        <v>31</v>
      </c>
      <c r="F16" s="95" t="s">
        <v>137</v>
      </c>
      <c r="G16" s="91" t="s">
        <v>136</v>
      </c>
      <c r="H16" s="96" t="s">
        <v>135</v>
      </c>
    </row>
    <row r="17" spans="1:8" ht="15">
      <c r="A17">
        <v>13</v>
      </c>
      <c r="B17" t="s">
        <v>108</v>
      </c>
      <c r="C17" t="s">
        <v>64</v>
      </c>
      <c r="D17">
        <v>59</v>
      </c>
      <c r="F17" s="95" t="s">
        <v>131</v>
      </c>
      <c r="G17" s="91">
        <f>AVERAGE(D5:D52)</f>
        <v>24.875</v>
      </c>
      <c r="H17" s="96"/>
    </row>
    <row r="18" spans="1:8" ht="15">
      <c r="A18">
        <v>14</v>
      </c>
      <c r="B18" t="s">
        <v>109</v>
      </c>
      <c r="C18" t="s">
        <v>66</v>
      </c>
      <c r="D18">
        <v>12</v>
      </c>
      <c r="F18" s="95"/>
      <c r="G18" s="90"/>
      <c r="H18" s="96"/>
    </row>
    <row r="19" spans="1:8" ht="15">
      <c r="A19">
        <v>15</v>
      </c>
      <c r="B19" t="s">
        <v>110</v>
      </c>
      <c r="C19" t="s">
        <v>64</v>
      </c>
      <c r="D19">
        <v>34</v>
      </c>
      <c r="F19" s="95" t="s">
        <v>128</v>
      </c>
      <c r="G19" s="90">
        <v>1.96</v>
      </c>
      <c r="H19" s="96"/>
    </row>
    <row r="20" spans="1:8" ht="15">
      <c r="A20">
        <v>16</v>
      </c>
      <c r="B20" t="s">
        <v>111</v>
      </c>
      <c r="C20" t="s">
        <v>66</v>
      </c>
      <c r="D20">
        <v>9</v>
      </c>
      <c r="F20" s="95"/>
      <c r="G20" s="90"/>
      <c r="H20" s="96"/>
    </row>
    <row r="21" spans="1:8" ht="15">
      <c r="A21">
        <v>17</v>
      </c>
      <c r="B21" t="s">
        <v>112</v>
      </c>
      <c r="C21" t="s">
        <v>66</v>
      </c>
      <c r="D21">
        <v>10</v>
      </c>
      <c r="F21" s="95" t="s">
        <v>133</v>
      </c>
      <c r="G21" s="91">
        <f>G5/SQRT(48)</f>
        <v>2.0347849067796417</v>
      </c>
      <c r="H21" s="96"/>
    </row>
    <row r="22" spans="1:8" ht="15">
      <c r="A22">
        <v>18</v>
      </c>
      <c r="B22" t="s">
        <v>113</v>
      </c>
      <c r="C22" t="s">
        <v>66</v>
      </c>
      <c r="D22">
        <v>23</v>
      </c>
      <c r="F22" s="95"/>
      <c r="G22" s="90"/>
      <c r="H22" s="96"/>
    </row>
    <row r="23" spans="1:9" ht="15.75" thickBot="1">
      <c r="A23">
        <v>19</v>
      </c>
      <c r="B23" t="s">
        <v>114</v>
      </c>
      <c r="C23" t="s">
        <v>64</v>
      </c>
      <c r="D23">
        <v>29</v>
      </c>
      <c r="F23" s="97" t="s">
        <v>134</v>
      </c>
      <c r="G23" s="98">
        <f>$G$17-$G$19*$G$21</f>
        <v>20.886821582711903</v>
      </c>
      <c r="H23" s="99">
        <f>$G$17+$G$19*$G$21</f>
        <v>28.863178417288097</v>
      </c>
      <c r="I23" s="92"/>
    </row>
    <row r="24" spans="1:4" ht="15.75" thickTop="1">
      <c r="A24">
        <v>20</v>
      </c>
      <c r="B24" t="s">
        <v>115</v>
      </c>
      <c r="C24" t="s">
        <v>64</v>
      </c>
      <c r="D24">
        <v>20</v>
      </c>
    </row>
    <row r="25" spans="1:4" ht="15">
      <c r="A25">
        <v>21</v>
      </c>
      <c r="B25" t="s">
        <v>116</v>
      </c>
      <c r="C25" t="s">
        <v>64</v>
      </c>
      <c r="D25">
        <v>39</v>
      </c>
    </row>
    <row r="26" spans="1:4" ht="15">
      <c r="A26">
        <v>22</v>
      </c>
      <c r="B26" t="s">
        <v>117</v>
      </c>
      <c r="C26" t="s">
        <v>66</v>
      </c>
      <c r="D26">
        <v>22</v>
      </c>
    </row>
    <row r="27" spans="1:4" ht="15">
      <c r="A27">
        <v>23</v>
      </c>
      <c r="B27" t="s">
        <v>118</v>
      </c>
      <c r="C27" t="s">
        <v>64</v>
      </c>
      <c r="D27">
        <v>32</v>
      </c>
    </row>
    <row r="28" spans="1:4" ht="15">
      <c r="A28">
        <v>24</v>
      </c>
      <c r="B28" t="s">
        <v>119</v>
      </c>
      <c r="C28" t="s">
        <v>64</v>
      </c>
      <c r="D28">
        <v>42</v>
      </c>
    </row>
    <row r="29" spans="1:4" ht="15">
      <c r="A29">
        <v>25</v>
      </c>
      <c r="B29" t="s">
        <v>120</v>
      </c>
      <c r="C29" t="s">
        <v>64</v>
      </c>
      <c r="D29">
        <v>10</v>
      </c>
    </row>
    <row r="30" spans="1:4" ht="15">
      <c r="A30">
        <v>26</v>
      </c>
      <c r="B30" t="s">
        <v>121</v>
      </c>
      <c r="C30" t="s">
        <v>64</v>
      </c>
      <c r="D30">
        <v>21</v>
      </c>
    </row>
    <row r="31" spans="1:4" ht="15">
      <c r="A31">
        <v>27</v>
      </c>
      <c r="B31" t="s">
        <v>122</v>
      </c>
      <c r="C31" t="s">
        <v>66</v>
      </c>
      <c r="D31">
        <v>11</v>
      </c>
    </row>
    <row r="32" spans="1:4" ht="15">
      <c r="A32">
        <v>28</v>
      </c>
      <c r="B32" t="s">
        <v>123</v>
      </c>
      <c r="C32" t="s">
        <v>64</v>
      </c>
      <c r="D32">
        <v>46</v>
      </c>
    </row>
    <row r="33" spans="1:4" ht="15">
      <c r="A33">
        <v>29</v>
      </c>
      <c r="B33" t="s">
        <v>124</v>
      </c>
      <c r="C33" t="s">
        <v>64</v>
      </c>
      <c r="D33">
        <v>41</v>
      </c>
    </row>
    <row r="34" spans="1:4" ht="15">
      <c r="A34">
        <v>30</v>
      </c>
      <c r="B34" t="s">
        <v>125</v>
      </c>
      <c r="C34" t="s">
        <v>66</v>
      </c>
      <c r="D34">
        <v>8</v>
      </c>
    </row>
    <row r="35" spans="1:4" ht="15">
      <c r="A35">
        <v>31</v>
      </c>
      <c r="B35" t="s">
        <v>233</v>
      </c>
      <c r="C35" s="90" t="s">
        <v>66</v>
      </c>
      <c r="D35" s="90">
        <v>18</v>
      </c>
    </row>
    <row r="36" spans="1:4" ht="15">
      <c r="A36">
        <v>32</v>
      </c>
      <c r="B36" t="s">
        <v>234</v>
      </c>
      <c r="C36" s="90" t="s">
        <v>66</v>
      </c>
      <c r="D36" s="90">
        <v>6</v>
      </c>
    </row>
    <row r="37" spans="1:4" ht="15">
      <c r="A37">
        <v>33</v>
      </c>
      <c r="B37" t="s">
        <v>235</v>
      </c>
      <c r="C37" s="90" t="s">
        <v>66</v>
      </c>
      <c r="D37" s="90">
        <v>12</v>
      </c>
    </row>
    <row r="38" spans="1:4" ht="15">
      <c r="A38">
        <v>34</v>
      </c>
      <c r="B38" t="s">
        <v>236</v>
      </c>
      <c r="C38" s="90" t="s">
        <v>66</v>
      </c>
      <c r="D38" s="90">
        <v>5</v>
      </c>
    </row>
    <row r="39" spans="1:4" ht="15">
      <c r="A39">
        <v>35</v>
      </c>
      <c r="B39" t="s">
        <v>237</v>
      </c>
      <c r="C39" s="90" t="s">
        <v>66</v>
      </c>
      <c r="D39" s="90">
        <v>6</v>
      </c>
    </row>
    <row r="40" spans="1:4" ht="15">
      <c r="A40">
        <v>36</v>
      </c>
      <c r="B40" t="s">
        <v>116</v>
      </c>
      <c r="C40" s="90" t="s">
        <v>64</v>
      </c>
      <c r="D40" s="90">
        <v>39</v>
      </c>
    </row>
    <row r="41" spans="1:4" ht="15">
      <c r="A41">
        <v>37</v>
      </c>
      <c r="B41" t="s">
        <v>238</v>
      </c>
      <c r="C41" s="90" t="s">
        <v>64</v>
      </c>
      <c r="D41" s="90">
        <v>17</v>
      </c>
    </row>
    <row r="42" spans="1:4" ht="15">
      <c r="A42">
        <v>38</v>
      </c>
      <c r="B42" t="s">
        <v>239</v>
      </c>
      <c r="C42" s="90" t="s">
        <v>66</v>
      </c>
      <c r="D42" s="90">
        <v>6</v>
      </c>
    </row>
    <row r="43" spans="1:4" ht="15">
      <c r="A43">
        <v>39</v>
      </c>
      <c r="B43" t="s">
        <v>240</v>
      </c>
      <c r="C43" s="90" t="s">
        <v>64</v>
      </c>
      <c r="D43" s="90">
        <v>12</v>
      </c>
    </row>
    <row r="44" spans="1:4" ht="15">
      <c r="A44">
        <v>40</v>
      </c>
      <c r="B44" t="s">
        <v>241</v>
      </c>
      <c r="C44" s="90" t="s">
        <v>66</v>
      </c>
      <c r="D44" s="90">
        <v>12</v>
      </c>
    </row>
    <row r="45" spans="1:4" ht="15">
      <c r="A45">
        <v>41</v>
      </c>
      <c r="B45" t="s">
        <v>301</v>
      </c>
      <c r="C45" s="90" t="s">
        <v>64</v>
      </c>
      <c r="D45" s="90">
        <v>65</v>
      </c>
    </row>
    <row r="46" spans="1:4" ht="15">
      <c r="A46">
        <v>42</v>
      </c>
      <c r="B46" t="s">
        <v>302</v>
      </c>
      <c r="C46" s="90" t="s">
        <v>64</v>
      </c>
      <c r="D46" s="90">
        <v>30</v>
      </c>
    </row>
    <row r="47" spans="1:4" ht="15">
      <c r="A47">
        <v>43</v>
      </c>
      <c r="B47" t="s">
        <v>303</v>
      </c>
      <c r="C47" s="90" t="s">
        <v>64</v>
      </c>
      <c r="D47" s="90">
        <v>37</v>
      </c>
    </row>
    <row r="48" spans="1:4" ht="15">
      <c r="A48">
        <v>44</v>
      </c>
      <c r="B48" t="s">
        <v>304</v>
      </c>
      <c r="C48" s="90" t="s">
        <v>64</v>
      </c>
      <c r="D48" s="90">
        <v>57</v>
      </c>
    </row>
    <row r="49" spans="1:4" ht="15">
      <c r="A49">
        <v>45</v>
      </c>
      <c r="B49" t="s">
        <v>305</v>
      </c>
      <c r="C49" s="90" t="s">
        <v>64</v>
      </c>
      <c r="D49" s="90">
        <v>15</v>
      </c>
    </row>
    <row r="50" spans="1:4" ht="15">
      <c r="A50">
        <v>46</v>
      </c>
      <c r="B50" s="90" t="s">
        <v>306</v>
      </c>
      <c r="C50" s="90" t="s">
        <v>64</v>
      </c>
      <c r="D50" s="90">
        <v>12</v>
      </c>
    </row>
    <row r="51" spans="1:4" ht="15">
      <c r="A51">
        <v>47</v>
      </c>
      <c r="B51" t="s">
        <v>307</v>
      </c>
      <c r="C51" s="90" t="s">
        <v>64</v>
      </c>
      <c r="D51" s="90">
        <v>29</v>
      </c>
    </row>
    <row r="52" spans="1:4" ht="15">
      <c r="A52">
        <v>48</v>
      </c>
      <c r="B52" s="90" t="s">
        <v>308</v>
      </c>
      <c r="C52" s="90" t="s">
        <v>64</v>
      </c>
      <c r="D52" s="90">
        <v>23</v>
      </c>
    </row>
  </sheetData>
  <mergeCells count="2">
    <mergeCell ref="F2:H2"/>
    <mergeCell ref="K2:M2"/>
  </mergeCells>
  <printOptions/>
  <pageMargins left="0.7" right="0.7" top="0.75" bottom="0.75" header="0.3" footer="0.3"/>
  <pageSetup horizontalDpi="600" verticalDpi="600" orientation="portrait" paperSize="9"/>
  <legacyDrawing r:id="rId2"/>
  <tableParts>
    <tablePart r:id="rId4"/>
    <tablePart r:id="rId3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workbookViewId="0" topLeftCell="A1">
      <selection activeCell="D35" sqref="D35"/>
    </sheetView>
  </sheetViews>
  <sheetFormatPr defaultColWidth="11.421875" defaultRowHeight="15"/>
  <cols>
    <col min="2" max="2" width="25.00390625" style="0" bestFit="1" customWidth="1"/>
    <col min="3" max="3" width="17.00390625" style="0" bestFit="1" customWidth="1"/>
    <col min="4" max="4" width="13.421875" style="0" customWidth="1"/>
    <col min="5" max="5" width="17.00390625" style="0" customWidth="1"/>
    <col min="6" max="6" width="11.421875" style="0" bestFit="1" customWidth="1"/>
    <col min="8" max="8" width="21.421875" style="0" bestFit="1" customWidth="1"/>
    <col min="9" max="10" width="12.00390625" style="0" customWidth="1"/>
    <col min="11" max="11" width="2.421875" style="0" customWidth="1"/>
    <col min="12" max="12" width="2.7109375" style="0" customWidth="1"/>
    <col min="13" max="13" width="32.00390625" style="0" bestFit="1" customWidth="1"/>
    <col min="14" max="14" width="12.421875" style="0" bestFit="1" customWidth="1"/>
    <col min="15" max="15" width="12.00390625" style="0" customWidth="1"/>
  </cols>
  <sheetData>
    <row r="1" ht="15.75" thickBot="1"/>
    <row r="2" spans="2:15" ht="32.25" thickTop="1">
      <c r="B2" s="89">
        <v>2010</v>
      </c>
      <c r="H2" s="273" t="s">
        <v>140</v>
      </c>
      <c r="I2" s="274"/>
      <c r="J2" s="275"/>
      <c r="M2" s="273" t="s">
        <v>141</v>
      </c>
      <c r="N2" s="274"/>
      <c r="O2" s="275"/>
    </row>
    <row r="3" spans="8:15" ht="15">
      <c r="H3" s="95"/>
      <c r="I3" s="90"/>
      <c r="J3" s="96"/>
      <c r="M3" s="95"/>
      <c r="N3" s="90"/>
      <c r="O3" s="96"/>
    </row>
    <row r="4" spans="2:15" ht="15">
      <c r="B4" s="1" t="s">
        <v>60</v>
      </c>
      <c r="C4" s="1" t="s">
        <v>63</v>
      </c>
      <c r="D4" s="1" t="s">
        <v>61</v>
      </c>
      <c r="E4" s="1" t="s">
        <v>62</v>
      </c>
      <c r="F4" s="1" t="s">
        <v>126</v>
      </c>
      <c r="H4" s="95" t="s">
        <v>137</v>
      </c>
      <c r="I4" s="90" t="s">
        <v>136</v>
      </c>
      <c r="J4" s="96"/>
      <c r="M4" s="95" t="s">
        <v>137</v>
      </c>
      <c r="N4" s="94" t="s">
        <v>136</v>
      </c>
      <c r="O4" s="96"/>
    </row>
    <row r="5" spans="2:15" ht="15">
      <c r="B5" t="s">
        <v>65</v>
      </c>
      <c r="C5" t="s">
        <v>66</v>
      </c>
      <c r="D5">
        <v>5</v>
      </c>
      <c r="E5">
        <v>4</v>
      </c>
      <c r="F5" s="88">
        <f>Tabla68[[#This Row],[Texto completo]]/Tabla68[[#This Row],[Referencias]]</f>
        <v>0.8</v>
      </c>
      <c r="H5" s="95" t="s">
        <v>127</v>
      </c>
      <c r="I5" s="94">
        <f>STDEV(D5:D34)</f>
        <v>17.83242558652217</v>
      </c>
      <c r="J5" s="96"/>
      <c r="M5" s="95" t="s">
        <v>138</v>
      </c>
      <c r="N5" s="94">
        <f>Tabla68[[#Totals],[Texto completo]]/Tabla68[[#Totals],[Referencias]]</f>
        <v>0.6518624641833811</v>
      </c>
      <c r="O5" s="96"/>
    </row>
    <row r="6" spans="2:15" ht="15">
      <c r="B6" t="s">
        <v>72</v>
      </c>
      <c r="C6" t="s">
        <v>66</v>
      </c>
      <c r="D6">
        <v>3</v>
      </c>
      <c r="E6">
        <v>2</v>
      </c>
      <c r="F6" s="88">
        <f>Tabla68[[#This Row],[Texto completo]]/Tabla68[[#This Row],[Referencias]]</f>
        <v>0.6666666666666666</v>
      </c>
      <c r="H6" s="95"/>
      <c r="I6" s="90"/>
      <c r="J6" s="96"/>
      <c r="M6" s="95"/>
      <c r="N6" s="90"/>
      <c r="O6" s="96"/>
    </row>
    <row r="7" spans="2:15" ht="15">
      <c r="B7" t="s">
        <v>67</v>
      </c>
      <c r="C7" t="s">
        <v>66</v>
      </c>
      <c r="D7">
        <v>15</v>
      </c>
      <c r="E7">
        <v>6</v>
      </c>
      <c r="F7" s="88">
        <f>Tabla68[[#This Row],[Texto completo]]/Tabla68[[#This Row],[Referencias]]</f>
        <v>0.4</v>
      </c>
      <c r="H7" s="95" t="s">
        <v>128</v>
      </c>
      <c r="I7" s="90">
        <v>1.96</v>
      </c>
      <c r="J7" s="96"/>
      <c r="M7" s="100" t="s">
        <v>128</v>
      </c>
      <c r="N7" s="93">
        <v>1.96</v>
      </c>
      <c r="O7" s="96"/>
    </row>
    <row r="8" spans="2:15" ht="15">
      <c r="B8" t="s">
        <v>68</v>
      </c>
      <c r="C8" t="s">
        <v>66</v>
      </c>
      <c r="D8">
        <v>11</v>
      </c>
      <c r="E8">
        <v>5</v>
      </c>
      <c r="F8" s="88">
        <f>Tabla68[[#This Row],[Texto completo]]/Tabla68[[#This Row],[Referencias]]</f>
        <v>0.45454545454545453</v>
      </c>
      <c r="H8" s="95"/>
      <c r="I8" s="90"/>
      <c r="J8" s="96"/>
      <c r="M8" s="95"/>
      <c r="N8" s="90"/>
      <c r="O8" s="96"/>
    </row>
    <row r="9" spans="2:15" ht="15">
      <c r="B9" t="s">
        <v>69</v>
      </c>
      <c r="C9" t="s">
        <v>64</v>
      </c>
      <c r="D9">
        <v>71</v>
      </c>
      <c r="E9">
        <v>51</v>
      </c>
      <c r="F9" s="88">
        <f>Tabla68[[#This Row],[Texto completo]]/Tabla68[[#This Row],[Referencias]]</f>
        <v>0.7183098591549296</v>
      </c>
      <c r="H9" s="95" t="s">
        <v>129</v>
      </c>
      <c r="I9" s="90">
        <v>7</v>
      </c>
      <c r="J9" s="96"/>
      <c r="M9" s="95" t="s">
        <v>129</v>
      </c>
      <c r="N9" s="90">
        <v>0.037</v>
      </c>
      <c r="O9" s="96"/>
    </row>
    <row r="10" spans="2:15" ht="15">
      <c r="B10" t="s">
        <v>70</v>
      </c>
      <c r="C10" t="s">
        <v>64</v>
      </c>
      <c r="D10">
        <v>41</v>
      </c>
      <c r="E10">
        <v>29</v>
      </c>
      <c r="F10" s="88">
        <f>Tabla68[[#This Row],[Texto completo]]/Tabla68[[#This Row],[Referencias]]</f>
        <v>0.7073170731707317</v>
      </c>
      <c r="H10" s="95"/>
      <c r="I10" s="90"/>
      <c r="J10" s="96"/>
      <c r="M10" s="95"/>
      <c r="N10" s="90"/>
      <c r="O10" s="96"/>
    </row>
    <row r="11" spans="2:15" ht="15">
      <c r="B11" t="s">
        <v>71</v>
      </c>
      <c r="C11" t="s">
        <v>64</v>
      </c>
      <c r="D11">
        <v>44</v>
      </c>
      <c r="E11">
        <v>26</v>
      </c>
      <c r="F11" s="88">
        <f>Tabla68[[#This Row],[Texto completo]]/Tabla68[[#This Row],[Referencias]]</f>
        <v>0.5909090909090909</v>
      </c>
      <c r="H11" s="95" t="s">
        <v>130</v>
      </c>
      <c r="I11" s="91">
        <f>((I7*I7)*(I5*I5))/(I9*I9)</f>
        <v>24.93083954022988</v>
      </c>
      <c r="J11" s="96"/>
      <c r="M11" s="95" t="s">
        <v>130</v>
      </c>
      <c r="N11" s="91">
        <f>((N7*N7)*N5*(1-N5))/(N9*N9)</f>
        <v>636.8182773120647</v>
      </c>
      <c r="O11" s="96"/>
    </row>
    <row r="12" spans="2:15" ht="15">
      <c r="B12" t="s">
        <v>73</v>
      </c>
      <c r="C12" t="s">
        <v>64</v>
      </c>
      <c r="D12">
        <v>5</v>
      </c>
      <c r="E12">
        <v>0</v>
      </c>
      <c r="F12" s="88">
        <f>Tabla68[[#This Row],[Texto completo]]/Tabla68[[#This Row],[Referencias]]</f>
        <v>0</v>
      </c>
      <c r="H12" s="95"/>
      <c r="I12" s="90"/>
      <c r="J12" s="96"/>
      <c r="M12" s="95"/>
      <c r="N12" s="90"/>
      <c r="O12" s="96"/>
    </row>
    <row r="13" spans="2:15" ht="15">
      <c r="B13" t="s">
        <v>74</v>
      </c>
      <c r="C13" t="s">
        <v>64</v>
      </c>
      <c r="D13">
        <v>49</v>
      </c>
      <c r="E13">
        <v>40</v>
      </c>
      <c r="F13" s="88">
        <f>Tabla68[[#This Row],[Texto completo]]/Tabla68[[#This Row],[Referencias]]</f>
        <v>0.8163265306122449</v>
      </c>
      <c r="H13" s="95"/>
      <c r="I13" s="90"/>
      <c r="J13" s="96"/>
      <c r="M13" s="95"/>
      <c r="N13" s="90"/>
      <c r="O13" s="96"/>
    </row>
    <row r="14" spans="2:15" ht="15">
      <c r="B14" t="s">
        <v>75</v>
      </c>
      <c r="C14" t="s">
        <v>64</v>
      </c>
      <c r="D14">
        <v>24</v>
      </c>
      <c r="E14">
        <v>18</v>
      </c>
      <c r="F14" s="88">
        <f>Tabla68[[#This Row],[Texto completo]]/Tabla68[[#This Row],[Referencias]]</f>
        <v>0.75</v>
      </c>
      <c r="H14" s="95"/>
      <c r="I14" s="90"/>
      <c r="J14" s="96"/>
      <c r="M14" s="95"/>
      <c r="N14" s="90"/>
      <c r="O14" s="96"/>
    </row>
    <row r="15" spans="2:15" ht="15">
      <c r="B15" t="s">
        <v>76</v>
      </c>
      <c r="C15" t="s">
        <v>66</v>
      </c>
      <c r="D15">
        <v>1</v>
      </c>
      <c r="E15">
        <v>1</v>
      </c>
      <c r="F15" s="88">
        <f>Tabla68[[#This Row],[Texto completo]]/Tabla68[[#This Row],[Referencias]]</f>
        <v>1</v>
      </c>
      <c r="H15" s="95"/>
      <c r="I15" s="90"/>
      <c r="J15" s="96"/>
      <c r="M15" s="95"/>
      <c r="N15" s="90"/>
      <c r="O15" s="96"/>
    </row>
    <row r="16" spans="2:15" ht="15">
      <c r="B16" t="s">
        <v>77</v>
      </c>
      <c r="C16" t="s">
        <v>66</v>
      </c>
      <c r="D16">
        <v>5</v>
      </c>
      <c r="E16">
        <v>3</v>
      </c>
      <c r="F16" s="88">
        <f>Tabla68[[#This Row],[Texto completo]]/Tabla68[[#This Row],[Referencias]]</f>
        <v>0.6</v>
      </c>
      <c r="H16" s="95" t="s">
        <v>137</v>
      </c>
      <c r="I16" s="91" t="s">
        <v>136</v>
      </c>
      <c r="J16" s="96" t="s">
        <v>135</v>
      </c>
      <c r="M16" s="95" t="s">
        <v>137</v>
      </c>
      <c r="N16" s="94" t="s">
        <v>136</v>
      </c>
      <c r="O16" s="96" t="s">
        <v>135</v>
      </c>
    </row>
    <row r="17" spans="2:15" ht="15">
      <c r="B17" t="s">
        <v>78</v>
      </c>
      <c r="C17" t="s">
        <v>64</v>
      </c>
      <c r="D17">
        <v>25</v>
      </c>
      <c r="E17">
        <v>15</v>
      </c>
      <c r="F17" s="88">
        <f>Tabla68[[#This Row],[Texto completo]]/Tabla68[[#This Row],[Referencias]]</f>
        <v>0.6</v>
      </c>
      <c r="H17" s="95" t="s">
        <v>131</v>
      </c>
      <c r="I17" s="91">
        <f>AVERAGE(Tabla68[Referencias])</f>
        <v>23.266666666666666</v>
      </c>
      <c r="J17" s="96"/>
      <c r="M17" s="95" t="s">
        <v>138</v>
      </c>
      <c r="N17" s="94">
        <f>Tabla68[[#Totals],[Texto completo]]/Tabla68[[#Totals],[Referencias]]</f>
        <v>0.6518624641833811</v>
      </c>
      <c r="O17" s="96"/>
    </row>
    <row r="18" spans="2:15" ht="15">
      <c r="B18" t="s">
        <v>79</v>
      </c>
      <c r="C18" t="s">
        <v>64</v>
      </c>
      <c r="D18">
        <v>17</v>
      </c>
      <c r="E18">
        <v>13</v>
      </c>
      <c r="F18" s="88">
        <f>Tabla68[[#This Row],[Texto completo]]/Tabla68[[#This Row],[Referencias]]</f>
        <v>0.7647058823529411</v>
      </c>
      <c r="H18" s="95"/>
      <c r="I18" s="90"/>
      <c r="J18" s="96"/>
      <c r="M18" s="95"/>
      <c r="N18" s="90"/>
      <c r="O18" s="96"/>
    </row>
    <row r="19" spans="2:15" ht="15">
      <c r="B19" t="s">
        <v>80</v>
      </c>
      <c r="C19" t="s">
        <v>66</v>
      </c>
      <c r="D19">
        <v>7</v>
      </c>
      <c r="E19">
        <v>4</v>
      </c>
      <c r="F19" s="88">
        <f>Tabla68[[#This Row],[Texto completo]]/Tabla68[[#This Row],[Referencias]]</f>
        <v>0.5714285714285714</v>
      </c>
      <c r="H19" s="95" t="s">
        <v>128</v>
      </c>
      <c r="I19" s="90">
        <v>1.96</v>
      </c>
      <c r="J19" s="96"/>
      <c r="M19" s="95" t="s">
        <v>128</v>
      </c>
      <c r="N19" s="90">
        <v>1.96</v>
      </c>
      <c r="O19" s="96"/>
    </row>
    <row r="20" spans="2:15" ht="15">
      <c r="B20" t="s">
        <v>81</v>
      </c>
      <c r="C20" t="s">
        <v>64</v>
      </c>
      <c r="D20">
        <v>32</v>
      </c>
      <c r="E20">
        <v>27</v>
      </c>
      <c r="F20" s="88">
        <f>Tabla68[[#This Row],[Texto completo]]/Tabla68[[#This Row],[Referencias]]</f>
        <v>0.84375</v>
      </c>
      <c r="H20" s="95"/>
      <c r="I20" s="90"/>
      <c r="J20" s="96"/>
      <c r="M20" s="95"/>
      <c r="N20" s="90"/>
      <c r="O20" s="96"/>
    </row>
    <row r="21" spans="2:15" ht="15">
      <c r="B21" t="s">
        <v>82</v>
      </c>
      <c r="C21" t="s">
        <v>66</v>
      </c>
      <c r="D21">
        <v>28</v>
      </c>
      <c r="E21">
        <v>16</v>
      </c>
      <c r="F21" s="88">
        <f>Tabla68[[#This Row],[Texto completo]]/Tabla68[[#This Row],[Referencias]]</f>
        <v>0.5714285714285714</v>
      </c>
      <c r="H21" s="95" t="s">
        <v>133</v>
      </c>
      <c r="I21" s="91">
        <f>I5/SQRT(30)</f>
        <v>3.255740582923495</v>
      </c>
      <c r="J21" s="96"/>
      <c r="M21" s="95" t="s">
        <v>139</v>
      </c>
      <c r="N21" s="94">
        <f>SQRT($N$17*(1-$N$17)/Tabla68[[#Totals],[Referencias]])</f>
        <v>0.018031244451351663</v>
      </c>
      <c r="O21" s="96"/>
    </row>
    <row r="22" spans="2:15" ht="15">
      <c r="B22" t="s">
        <v>83</v>
      </c>
      <c r="C22" t="s">
        <v>64</v>
      </c>
      <c r="D22">
        <v>10</v>
      </c>
      <c r="E22">
        <v>6</v>
      </c>
      <c r="F22" s="88">
        <f>Tabla68[[#This Row],[Texto completo]]/Tabla68[[#This Row],[Referencias]]</f>
        <v>0.6</v>
      </c>
      <c r="H22" s="95"/>
      <c r="I22" s="90"/>
      <c r="J22" s="96"/>
      <c r="M22" s="95"/>
      <c r="N22" s="90"/>
      <c r="O22" s="96"/>
    </row>
    <row r="23" spans="2:15" ht="15.75" thickBot="1">
      <c r="B23" t="s">
        <v>84</v>
      </c>
      <c r="C23" t="s">
        <v>66</v>
      </c>
      <c r="D23">
        <v>0</v>
      </c>
      <c r="E23">
        <v>0</v>
      </c>
      <c r="F23" s="88">
        <v>0</v>
      </c>
      <c r="H23" s="97" t="s">
        <v>134</v>
      </c>
      <c r="I23" s="98">
        <f>$I$17-$I$19*$I$21</f>
        <v>16.885415124136614</v>
      </c>
      <c r="J23" s="99">
        <f>$I$17+$I$19*$I$21</f>
        <v>29.647918209196717</v>
      </c>
      <c r="K23" s="92"/>
      <c r="M23" s="97" t="s">
        <v>132</v>
      </c>
      <c r="N23" s="98">
        <f>$N$17-$N$19*N21</f>
        <v>0.6165212250587319</v>
      </c>
      <c r="O23" s="99">
        <f>$N$17+$N$19*$N$21</f>
        <v>0.6872037033080304</v>
      </c>
    </row>
    <row r="24" spans="2:6" ht="15.75" thickTop="1">
      <c r="B24" t="s">
        <v>85</v>
      </c>
      <c r="C24" t="s">
        <v>64</v>
      </c>
      <c r="D24">
        <v>23</v>
      </c>
      <c r="E24">
        <v>17</v>
      </c>
      <c r="F24" s="88">
        <f>Tabla68[[#This Row],[Texto completo]]/Tabla68[[#This Row],[Referencias]]</f>
        <v>0.7391304347826086</v>
      </c>
    </row>
    <row r="25" spans="2:6" ht="15">
      <c r="B25" t="s">
        <v>86</v>
      </c>
      <c r="C25" t="s">
        <v>64</v>
      </c>
      <c r="D25">
        <v>24</v>
      </c>
      <c r="E25">
        <v>19</v>
      </c>
      <c r="F25" s="88">
        <f>Tabla68[[#This Row],[Texto completo]]/Tabla68[[#This Row],[Referencias]]</f>
        <v>0.7916666666666666</v>
      </c>
    </row>
    <row r="26" spans="2:6" ht="15">
      <c r="B26" t="s">
        <v>87</v>
      </c>
      <c r="C26" t="s">
        <v>64</v>
      </c>
      <c r="D26">
        <v>40</v>
      </c>
      <c r="E26">
        <v>36</v>
      </c>
      <c r="F26" s="88">
        <f>Tabla68[[#This Row],[Texto completo]]/Tabla68[[#This Row],[Referencias]]</f>
        <v>0.9</v>
      </c>
    </row>
    <row r="27" spans="2:6" ht="15">
      <c r="B27" t="s">
        <v>88</v>
      </c>
      <c r="C27" t="s">
        <v>64</v>
      </c>
      <c r="D27">
        <v>62</v>
      </c>
      <c r="E27">
        <v>34</v>
      </c>
      <c r="F27" s="88">
        <f>Tabla68[[#This Row],[Texto completo]]/Tabla68[[#This Row],[Referencias]]</f>
        <v>0.5483870967741935</v>
      </c>
    </row>
    <row r="28" spans="2:6" ht="15">
      <c r="B28" t="s">
        <v>89</v>
      </c>
      <c r="C28" t="s">
        <v>66</v>
      </c>
      <c r="D28">
        <v>39</v>
      </c>
      <c r="E28">
        <v>26</v>
      </c>
      <c r="F28" s="88">
        <f>Tabla68[[#This Row],[Texto completo]]/Tabla68[[#This Row],[Referencias]]</f>
        <v>0.6666666666666666</v>
      </c>
    </row>
    <row r="29" spans="2:6" ht="15">
      <c r="B29" t="s">
        <v>90</v>
      </c>
      <c r="C29" t="s">
        <v>64</v>
      </c>
      <c r="D29">
        <v>13</v>
      </c>
      <c r="E29">
        <v>6</v>
      </c>
      <c r="F29" s="88">
        <f>Tabla68[[#This Row],[Texto completo]]/Tabla68[[#This Row],[Referencias]]</f>
        <v>0.46153846153846156</v>
      </c>
    </row>
    <row r="30" spans="2:6" ht="15">
      <c r="B30" t="s">
        <v>91</v>
      </c>
      <c r="C30" t="s">
        <v>66</v>
      </c>
      <c r="D30">
        <v>26</v>
      </c>
      <c r="E30">
        <v>12</v>
      </c>
      <c r="F30" s="88">
        <f>Tabla68[[#This Row],[Texto completo]]/Tabla68[[#This Row],[Referencias]]</f>
        <v>0.46153846153846156</v>
      </c>
    </row>
    <row r="31" spans="2:6" ht="15">
      <c r="B31" t="s">
        <v>92</v>
      </c>
      <c r="C31" t="s">
        <v>66</v>
      </c>
      <c r="D31">
        <v>24</v>
      </c>
      <c r="E31">
        <v>10</v>
      </c>
      <c r="F31" s="88">
        <f>Tabla68[[#This Row],[Texto completo]]/Tabla68[[#This Row],[Referencias]]</f>
        <v>0.4166666666666667</v>
      </c>
    </row>
    <row r="32" spans="2:6" ht="15">
      <c r="B32" t="s">
        <v>93</v>
      </c>
      <c r="C32" t="s">
        <v>64</v>
      </c>
      <c r="D32">
        <v>17</v>
      </c>
      <c r="E32">
        <v>14</v>
      </c>
      <c r="F32" s="88">
        <f>Tabla68[[#This Row],[Texto completo]]/Tabla68[[#This Row],[Referencias]]</f>
        <v>0.8235294117647058</v>
      </c>
    </row>
    <row r="33" spans="2:6" ht="15">
      <c r="B33" t="s">
        <v>94</v>
      </c>
      <c r="C33" t="s">
        <v>66</v>
      </c>
      <c r="D33">
        <v>24</v>
      </c>
      <c r="E33">
        <v>9</v>
      </c>
      <c r="F33" s="88">
        <f>Tabla68[[#This Row],[Texto completo]]/Tabla68[[#This Row],[Referencias]]</f>
        <v>0.375</v>
      </c>
    </row>
    <row r="34" spans="2:6" ht="15">
      <c r="B34" t="s">
        <v>95</v>
      </c>
      <c r="C34" t="s">
        <v>66</v>
      </c>
      <c r="D34">
        <v>13</v>
      </c>
      <c r="E34">
        <v>6</v>
      </c>
      <c r="F34" s="88">
        <f>Tabla68[[#This Row],[Texto completo]]/Tabla68[[#This Row],[Referencias]]</f>
        <v>0.46153846153846156</v>
      </c>
    </row>
    <row r="35" spans="2:6" ht="15">
      <c r="B35" s="90"/>
      <c r="C35" s="90"/>
      <c r="D35" s="90">
        <f>SUBTOTAL(109,[Referencias])</f>
        <v>698</v>
      </c>
      <c r="E35" s="90">
        <f>SUM(E5:E34)</f>
        <v>455</v>
      </c>
      <c r="F35" s="91">
        <f>AVERAGE([Porcentaje])</f>
        <v>0.6033683342735364</v>
      </c>
    </row>
  </sheetData>
  <mergeCells count="2">
    <mergeCell ref="H2:J2"/>
    <mergeCell ref="M2:O2"/>
  </mergeCells>
  <printOptions/>
  <pageMargins left="0.7" right="0.7" top="0.75" bottom="0.75" header="0.3" footer="0.3"/>
  <pageSetup horizontalDpi="600" verticalDpi="600" orientation="portrait" paperSize="9"/>
  <tableParts>
    <tablePart r:id="rId2"/>
    <tablePart r:id="rId5"/>
    <tablePart r:id="rId4"/>
    <tablePart r:id="rId3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EA258F912FA40871C2CF95475DA83" ma:contentTypeVersion="0" ma:contentTypeDescription="Crear nuevo documento." ma:contentTypeScope="" ma:versionID="d939a8127d150bb7e19d49e5b93de54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18BE56-F5EC-4A7B-87F9-13586C993DDB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DC68C0-C6EE-478F-8CDF-26C17C2AB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13F441-4B88-4C5C-B8A5-5915F02119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fcorumon</dc:creator>
  <cp:keywords/>
  <dc:description/>
  <cp:lastModifiedBy>Francisco Jose Rubio Montero</cp:lastModifiedBy>
  <dcterms:created xsi:type="dcterms:W3CDTF">2012-06-14T12:04:35Z</dcterms:created>
  <dcterms:modified xsi:type="dcterms:W3CDTF">2013-11-28T11:52:56Z</dcterms:modified>
  <cp:category/>
  <cp:version/>
  <cp:contentType/>
  <cp:contentStatus/>
</cp:coreProperties>
</file>