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E:\ARQUITECTURA\ARQ 2021-2022\TFG\TRABAJO\"/>
    </mc:Choice>
  </mc:AlternateContent>
  <xr:revisionPtr revIDLastSave="0" documentId="13_ncr:1_{31062CCB-DDDE-4A11-9F3C-FC27859EE0FF}" xr6:coauthVersionLast="47" xr6:coauthVersionMax="47" xr10:uidLastSave="{00000000-0000-0000-0000-000000000000}"/>
  <bookViews>
    <workbookView xWindow="-108" yWindow="-108" windowWidth="23256" windowHeight="12576" tabRatio="873" xr2:uid="{583370F4-C43E-4014-A3D1-FD87252F3488}"/>
  </bookViews>
  <sheets>
    <sheet name="Introducción. Guía Básica" sheetId="1" r:id="rId1"/>
    <sheet name="Info. Técnica Uniones" sheetId="9" r:id="rId2"/>
    <sheet name="Valores de cálculo" sheetId="3" r:id="rId3"/>
    <sheet name="Comprobación secciones" sheetId="2" r:id="rId4"/>
    <sheet name="Comprobación uniones" sheetId="6" r:id="rId5"/>
    <sheet name="Coeficientes y kmod" sheetId="4" state="hidden" r:id="rId6"/>
    <sheet name="Valores c. de la madera" sheetId="5" state="hidden" r:id="rId7"/>
    <sheet name="Valores c. de las uniones" sheetId="7" state="hidden" r:id="rId8"/>
  </sheets>
  <definedNames>
    <definedName name="CON_TALADRO_PREVIO">'Valores c. de las uniones'!$U$3:$U$4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8" i="2" l="1"/>
  <c r="G105" i="2"/>
  <c r="C116" i="2" s="1"/>
  <c r="D116" i="2" s="1"/>
  <c r="G104" i="2"/>
  <c r="G102" i="2"/>
  <c r="G99" i="2"/>
  <c r="G97" i="2"/>
  <c r="C109" i="2" s="1"/>
  <c r="G96" i="2"/>
  <c r="C105" i="2"/>
  <c r="C102" i="2"/>
  <c r="C100" i="2"/>
  <c r="C99" i="2"/>
  <c r="C98" i="2"/>
  <c r="C110" i="2" s="1"/>
  <c r="C97" i="2"/>
  <c r="C96" i="2"/>
  <c r="C93" i="2"/>
  <c r="D93" i="2"/>
  <c r="E93" i="2"/>
  <c r="F93" i="2"/>
  <c r="G93" i="2"/>
  <c r="B93" i="2"/>
  <c r="M13" i="3"/>
  <c r="N13" i="3"/>
  <c r="O13" i="3"/>
  <c r="P13" i="3"/>
  <c r="Q13" i="3"/>
  <c r="L13" i="3"/>
  <c r="C104" i="2"/>
  <c r="C111" i="2"/>
  <c r="Q11" i="3"/>
  <c r="P11" i="3"/>
  <c r="O11" i="3"/>
  <c r="N11" i="3"/>
  <c r="M11" i="3"/>
  <c r="L11" i="3"/>
  <c r="M12" i="3"/>
  <c r="N12" i="3"/>
  <c r="O12" i="3"/>
  <c r="P12" i="3"/>
  <c r="Q12" i="3"/>
  <c r="L12" i="3"/>
  <c r="Q14" i="3"/>
  <c r="Q15" i="3"/>
  <c r="Q16" i="3"/>
  <c r="Q17" i="3"/>
  <c r="Q18" i="3"/>
  <c r="Q19" i="3"/>
  <c r="M19" i="3"/>
  <c r="N19" i="3"/>
  <c r="O19" i="3"/>
  <c r="P19" i="3"/>
  <c r="M18" i="3"/>
  <c r="N18" i="3"/>
  <c r="O18" i="3"/>
  <c r="P18" i="3"/>
  <c r="M17" i="3"/>
  <c r="N17" i="3"/>
  <c r="O17" i="3"/>
  <c r="P17" i="3"/>
  <c r="M16" i="3"/>
  <c r="N16" i="3"/>
  <c r="O16" i="3"/>
  <c r="P16" i="3"/>
  <c r="M15" i="3"/>
  <c r="N15" i="3"/>
  <c r="O15" i="3"/>
  <c r="P15" i="3"/>
  <c r="M14" i="3"/>
  <c r="N14" i="3"/>
  <c r="O14" i="3"/>
  <c r="P14" i="3"/>
  <c r="L19" i="3"/>
  <c r="L18" i="3"/>
  <c r="L17" i="3"/>
  <c r="L16" i="3"/>
  <c r="L15" i="3"/>
  <c r="L14" i="3"/>
  <c r="C115" i="2" l="1"/>
  <c r="D115" i="2" s="1"/>
  <c r="C113" i="2"/>
  <c r="D113" i="2" s="1"/>
  <c r="C108" i="2"/>
  <c r="G108" i="2" s="1"/>
  <c r="H108" i="2" s="1"/>
  <c r="D109" i="2"/>
  <c r="D110" i="2"/>
  <c r="B121" i="2"/>
  <c r="F121" i="2" s="1"/>
  <c r="D111" i="2"/>
  <c r="C121" i="2"/>
  <c r="G121" i="2" s="1"/>
  <c r="C71" i="2"/>
  <c r="C138" i="2"/>
  <c r="C173" i="2"/>
  <c r="C209" i="2"/>
  <c r="C243" i="2"/>
  <c r="C278" i="2"/>
  <c r="C312" i="2"/>
  <c r="C36" i="2"/>
  <c r="G115" i="2" l="1"/>
  <c r="H115" i="2" s="1"/>
  <c r="H121" i="2"/>
  <c r="G113" i="2"/>
  <c r="H113" i="2" s="1"/>
  <c r="D121" i="2"/>
  <c r="D108" i="2"/>
  <c r="E121" i="2"/>
  <c r="R136" i="7"/>
  <c r="R135" i="7"/>
  <c r="R99" i="7"/>
  <c r="R98" i="7"/>
  <c r="R64" i="7"/>
  <c r="R63" i="7"/>
  <c r="AS148" i="7"/>
  <c r="AR110" i="7"/>
  <c r="AP152" i="7"/>
  <c r="AP114" i="7"/>
  <c r="AW151" i="7"/>
  <c r="AW150" i="7"/>
  <c r="AW148" i="7"/>
  <c r="AW149" i="7"/>
  <c r="AW147" i="7"/>
  <c r="AP157" i="7"/>
  <c r="AP156" i="7"/>
  <c r="AP155" i="7"/>
  <c r="AP154" i="7"/>
  <c r="AP151" i="7"/>
  <c r="AP158" i="7" s="1"/>
  <c r="AR148" i="7" s="1"/>
  <c r="AP150" i="7"/>
  <c r="AS110" i="7"/>
  <c r="AS75" i="7"/>
  <c r="AP120" i="7"/>
  <c r="AR111" i="7" s="1"/>
  <c r="AP119" i="7"/>
  <c r="AQ111" i="7" s="1"/>
  <c r="AP111" i="7" s="1"/>
  <c r="AP118" i="7"/>
  <c r="AP117" i="7"/>
  <c r="AQ110" i="7" s="1"/>
  <c r="AP110" i="7" s="1"/>
  <c r="AP116" i="7"/>
  <c r="AP79" i="7"/>
  <c r="AW114" i="7"/>
  <c r="AW113" i="7"/>
  <c r="AW111" i="7"/>
  <c r="AW112" i="7"/>
  <c r="AW110" i="7"/>
  <c r="AP113" i="7"/>
  <c r="AP112" i="7"/>
  <c r="AP84" i="7"/>
  <c r="AP82" i="7"/>
  <c r="AP83" i="7"/>
  <c r="AP81" i="7"/>
  <c r="AP77" i="7"/>
  <c r="AW78" i="7"/>
  <c r="AW77" i="7"/>
  <c r="AW76" i="7"/>
  <c r="AW75" i="7"/>
  <c r="AW74" i="7"/>
  <c r="AJ148" i="7"/>
  <c r="AJ110" i="7"/>
  <c r="AJ138" i="7"/>
  <c r="AJ101" i="7"/>
  <c r="AJ129" i="7"/>
  <c r="AJ127" i="7"/>
  <c r="AJ90" i="7"/>
  <c r="AJ75" i="7"/>
  <c r="AJ65" i="7"/>
  <c r="AJ92" i="7"/>
  <c r="AJ55" i="7"/>
  <c r="AJ22" i="7"/>
  <c r="AJ57" i="7"/>
  <c r="AJ39" i="7"/>
  <c r="AJ41" i="7"/>
  <c r="AJ14" i="7"/>
  <c r="AJ4" i="7"/>
  <c r="AJ8" i="7"/>
  <c r="AJ6" i="7"/>
  <c r="C17" i="3"/>
  <c r="U113" i="7"/>
  <c r="U149" i="7"/>
  <c r="U112" i="7"/>
  <c r="U77" i="7"/>
  <c r="B4" i="6"/>
  <c r="U115" i="7"/>
  <c r="W47" i="7"/>
  <c r="U47" i="7" s="1"/>
  <c r="W23" i="7"/>
  <c r="U23" i="7" s="1"/>
  <c r="G60" i="2"/>
  <c r="G127" i="2"/>
  <c r="G162" i="2"/>
  <c r="G198" i="2"/>
  <c r="G232" i="2"/>
  <c r="G267" i="2"/>
  <c r="G301" i="2"/>
  <c r="J6" i="2"/>
  <c r="B7" i="2" s="1"/>
  <c r="D5" i="2"/>
  <c r="AP122" i="7" l="1"/>
  <c r="I119" i="6" s="1"/>
  <c r="AQ149" i="7"/>
  <c r="AR149" i="7"/>
  <c r="AQ148" i="7"/>
  <c r="AP148" i="7" s="1"/>
  <c r="G25" i="2"/>
  <c r="C279" i="2"/>
  <c r="C313" i="2"/>
  <c r="C244" i="2"/>
  <c r="C37" i="2"/>
  <c r="C210" i="2"/>
  <c r="C139" i="2"/>
  <c r="C72" i="2"/>
  <c r="C174" i="2"/>
  <c r="CH30" i="5"/>
  <c r="CR30" i="5"/>
  <c r="CK30" i="5"/>
  <c r="CG30" i="5"/>
  <c r="CV30" i="5"/>
  <c r="CU30" i="5"/>
  <c r="CC30" i="5"/>
  <c r="CB30" i="5"/>
  <c r="CQ30" i="5"/>
  <c r="CP30" i="5"/>
  <c r="CF30" i="5"/>
  <c r="CJ30" i="5"/>
  <c r="CI30" i="5"/>
  <c r="BY30" i="5"/>
  <c r="CE30" i="5"/>
  <c r="CD30" i="5"/>
  <c r="CT30" i="5"/>
  <c r="CS30" i="5"/>
  <c r="CA30" i="5"/>
  <c r="BZ30" i="5"/>
  <c r="CO30" i="5"/>
  <c r="CN30" i="5"/>
  <c r="CM30" i="5"/>
  <c r="J5" i="2" s="1"/>
  <c r="CL30" i="5"/>
  <c r="F60" i="2"/>
  <c r="F127" i="2"/>
  <c r="F162" i="2"/>
  <c r="F198" i="2"/>
  <c r="F232" i="2"/>
  <c r="F267" i="2"/>
  <c r="F301" i="2"/>
  <c r="BZ29" i="5"/>
  <c r="CA29" i="5"/>
  <c r="CB29" i="5"/>
  <c r="CC29" i="5"/>
  <c r="CD29" i="5"/>
  <c r="CE29" i="5"/>
  <c r="CF29" i="5"/>
  <c r="CG29" i="5"/>
  <c r="CH29" i="5"/>
  <c r="CI29" i="5"/>
  <c r="CJ29" i="5"/>
  <c r="CK29" i="5"/>
  <c r="CL29" i="5"/>
  <c r="CM29" i="5"/>
  <c r="CN29" i="5"/>
  <c r="CO29" i="5"/>
  <c r="CP29" i="5"/>
  <c r="CQ29" i="5"/>
  <c r="CR29" i="5"/>
  <c r="CS29" i="5"/>
  <c r="CT29" i="5"/>
  <c r="CU29" i="5"/>
  <c r="CV29" i="5"/>
  <c r="BY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Q29" i="5"/>
  <c r="C24" i="3"/>
  <c r="B3" i="2" s="1"/>
  <c r="R134" i="7"/>
  <c r="R133" i="7"/>
  <c r="R130" i="7"/>
  <c r="R129" i="7"/>
  <c r="R97" i="7"/>
  <c r="R96" i="7"/>
  <c r="R93" i="7"/>
  <c r="R92" i="7"/>
  <c r="R42" i="7"/>
  <c r="R41" i="7"/>
  <c r="R61" i="7"/>
  <c r="R62" i="7"/>
  <c r="R58" i="7"/>
  <c r="R57" i="7"/>
  <c r="R45" i="7"/>
  <c r="R9" i="7"/>
  <c r="R46" i="7"/>
  <c r="AK38" i="7" s="1"/>
  <c r="R11" i="7"/>
  <c r="R6" i="7"/>
  <c r="R5" i="7"/>
  <c r="R10" i="7"/>
  <c r="C20" i="3"/>
  <c r="B8" i="6" s="1"/>
  <c r="G22" i="3"/>
  <c r="F22" i="3"/>
  <c r="E22" i="3"/>
  <c r="D22" i="3"/>
  <c r="C23" i="3"/>
  <c r="B5" i="2" s="1"/>
  <c r="C22" i="3"/>
  <c r="C16" i="3"/>
  <c r="C14" i="3"/>
  <c r="C13" i="3"/>
  <c r="C12" i="3"/>
  <c r="C11" i="3"/>
  <c r="C9" i="3"/>
  <c r="C8" i="3"/>
  <c r="AC77" i="7" s="1"/>
  <c r="C7" i="3"/>
  <c r="C6" i="3"/>
  <c r="C5" i="3"/>
  <c r="C4" i="3"/>
  <c r="C25" i="3" l="1"/>
  <c r="F29" i="3" s="1"/>
  <c r="AP149" i="7"/>
  <c r="AP160" i="7" s="1"/>
  <c r="I149" i="6" s="1"/>
  <c r="C131" i="2"/>
  <c r="C202" i="2"/>
  <c r="B198" i="2"/>
  <c r="C272" i="2"/>
  <c r="C273" i="2"/>
  <c r="D267" i="2"/>
  <c r="B232" i="2"/>
  <c r="C236" i="2"/>
  <c r="C237" i="2"/>
  <c r="D232" i="2"/>
  <c r="C238" i="2"/>
  <c r="B25" i="2"/>
  <c r="C29" i="2"/>
  <c r="C204" i="2"/>
  <c r="C203" i="2"/>
  <c r="D198" i="2"/>
  <c r="C168" i="2"/>
  <c r="D162" i="2"/>
  <c r="C167" i="2"/>
  <c r="C306" i="2"/>
  <c r="C307" i="2"/>
  <c r="D301" i="2"/>
  <c r="C271" i="2"/>
  <c r="B267" i="2"/>
  <c r="C133" i="2"/>
  <c r="D127" i="2"/>
  <c r="C132" i="2"/>
  <c r="F25" i="2"/>
  <c r="D25" i="2"/>
  <c r="C31" i="2"/>
  <c r="C30" i="2"/>
  <c r="B127" i="2"/>
  <c r="B60" i="2"/>
  <c r="C64" i="2"/>
  <c r="C65" i="2"/>
  <c r="D60" i="2"/>
  <c r="C66" i="2"/>
  <c r="B301" i="2"/>
  <c r="C305" i="2"/>
  <c r="B162" i="2"/>
  <c r="C166" i="2"/>
  <c r="E25" i="2"/>
  <c r="C32" i="2"/>
  <c r="E267" i="2"/>
  <c r="C274" i="2"/>
  <c r="C239" i="2"/>
  <c r="E232" i="2"/>
  <c r="E301" i="2"/>
  <c r="C308" i="2"/>
  <c r="C205" i="2"/>
  <c r="E198" i="2"/>
  <c r="E162" i="2"/>
  <c r="C169" i="2"/>
  <c r="C134" i="2"/>
  <c r="E127" i="2"/>
  <c r="E60" i="2"/>
  <c r="C67" i="2"/>
  <c r="C232" i="2"/>
  <c r="C235" i="2"/>
  <c r="C198" i="2"/>
  <c r="C201" i="2"/>
  <c r="C127" i="2"/>
  <c r="C130" i="2"/>
  <c r="C25" i="2"/>
  <c r="C28" i="2"/>
  <c r="C267" i="2"/>
  <c r="C270" i="2"/>
  <c r="C60" i="2"/>
  <c r="C63" i="2"/>
  <c r="C304" i="2"/>
  <c r="C301" i="2"/>
  <c r="C162" i="2"/>
  <c r="C165" i="2"/>
  <c r="C34" i="2"/>
  <c r="C69" i="2"/>
  <c r="C136" i="2"/>
  <c r="C171" i="2"/>
  <c r="C207" i="2"/>
  <c r="C241" i="2"/>
  <c r="C276" i="2"/>
  <c r="C310" i="2"/>
  <c r="B7" i="6"/>
  <c r="I83" i="6" s="1"/>
  <c r="AK54" i="7"/>
  <c r="AP78" i="7"/>
  <c r="AP85" i="7" s="1"/>
  <c r="AK3" i="7"/>
  <c r="AJ3" i="7" s="1"/>
  <c r="AK126" i="7"/>
  <c r="AJ126" i="7" s="1"/>
  <c r="AJ131" i="7"/>
  <c r="AK89" i="7"/>
  <c r="AJ89" i="7" s="1"/>
  <c r="AJ94" i="7"/>
  <c r="AJ59" i="7"/>
  <c r="AJ54" i="7"/>
  <c r="AJ43" i="7"/>
  <c r="AJ38" i="7"/>
  <c r="R44" i="7"/>
  <c r="AF5" i="7"/>
  <c r="AF113" i="7"/>
  <c r="AC113" i="7" s="1"/>
  <c r="AF114" i="7"/>
  <c r="AC114" i="7" s="1"/>
  <c r="AF4" i="7"/>
  <c r="AC4" i="7" s="1"/>
  <c r="W102" i="7"/>
  <c r="R8" i="7"/>
  <c r="R95" i="7"/>
  <c r="R132" i="7"/>
  <c r="U127" i="7"/>
  <c r="W139" i="7"/>
  <c r="R139" i="7" s="1"/>
  <c r="G139" i="7" s="1"/>
  <c r="W140" i="7"/>
  <c r="R140" i="7" s="1"/>
  <c r="G140" i="7" s="1"/>
  <c r="C31" i="3"/>
  <c r="C42" i="3"/>
  <c r="C41" i="3"/>
  <c r="C39" i="3"/>
  <c r="C38" i="3"/>
  <c r="C37" i="3"/>
  <c r="C36" i="3"/>
  <c r="C34" i="3"/>
  <c r="C33" i="3"/>
  <c r="C32" i="3"/>
  <c r="U102" i="7"/>
  <c r="R102" i="7" s="1"/>
  <c r="G103" i="7" s="1"/>
  <c r="U139" i="7"/>
  <c r="U140" i="7"/>
  <c r="U90" i="7"/>
  <c r="U55" i="7"/>
  <c r="W67" i="7"/>
  <c r="W68" i="7" s="1"/>
  <c r="W103" i="7"/>
  <c r="U103" i="7"/>
  <c r="U67" i="7"/>
  <c r="R60" i="7"/>
  <c r="W14" i="7"/>
  <c r="U15" i="7"/>
  <c r="Y15" i="7"/>
  <c r="R15" i="7" s="1"/>
  <c r="G16" i="7" s="1"/>
  <c r="Y14" i="7"/>
  <c r="W15" i="7"/>
  <c r="U14" i="7"/>
  <c r="W4" i="7"/>
  <c r="Y39" i="7"/>
  <c r="W39" i="7"/>
  <c r="Y40" i="7"/>
  <c r="W40" i="7"/>
  <c r="U40" i="7"/>
  <c r="U39" i="7"/>
  <c r="U3" i="7"/>
  <c r="U4" i="7"/>
  <c r="W3" i="7"/>
  <c r="E39" i="3"/>
  <c r="F34" i="3"/>
  <c r="D42" i="3"/>
  <c r="E37" i="3"/>
  <c r="F32" i="3"/>
  <c r="D41" i="3"/>
  <c r="E36" i="3"/>
  <c r="F31" i="3"/>
  <c r="D39" i="3"/>
  <c r="E34" i="3"/>
  <c r="D38" i="3"/>
  <c r="E33" i="3"/>
  <c r="D37" i="3"/>
  <c r="E32" i="3"/>
  <c r="G42" i="3"/>
  <c r="D36" i="3"/>
  <c r="E31" i="3"/>
  <c r="G41" i="3"/>
  <c r="D34" i="3"/>
  <c r="G39" i="3"/>
  <c r="D33" i="3"/>
  <c r="G38" i="3"/>
  <c r="E38" i="3"/>
  <c r="D32" i="3"/>
  <c r="F42" i="3"/>
  <c r="G37" i="3"/>
  <c r="D31" i="3"/>
  <c r="F41" i="3"/>
  <c r="G36" i="3"/>
  <c r="F39" i="3"/>
  <c r="G34" i="3"/>
  <c r="F38" i="3"/>
  <c r="G33" i="3"/>
  <c r="F33" i="3"/>
  <c r="E42" i="3"/>
  <c r="F37" i="3"/>
  <c r="G32" i="3"/>
  <c r="E41" i="3"/>
  <c r="F36" i="3"/>
  <c r="G31" i="3"/>
  <c r="D30" i="3" l="1"/>
  <c r="C29" i="3"/>
  <c r="G30" i="2" s="1"/>
  <c r="F30" i="3"/>
  <c r="E29" i="3"/>
  <c r="G66" i="2" s="1"/>
  <c r="D29" i="3"/>
  <c r="G29" i="3"/>
  <c r="C30" i="3"/>
  <c r="G30" i="3"/>
  <c r="E30" i="3"/>
  <c r="G313" i="2"/>
  <c r="G139" i="2"/>
  <c r="C150" i="2" s="1"/>
  <c r="D150" i="2" s="1"/>
  <c r="G279" i="2"/>
  <c r="G244" i="2"/>
  <c r="C255" i="2" s="1"/>
  <c r="D255" i="2" s="1"/>
  <c r="G307" i="2"/>
  <c r="C318" i="2" s="1"/>
  <c r="D318" i="2" s="1"/>
  <c r="G133" i="2"/>
  <c r="C144" i="2" s="1"/>
  <c r="D144" i="2" s="1"/>
  <c r="G273" i="2"/>
  <c r="C284" i="2" s="1"/>
  <c r="D284" i="2" s="1"/>
  <c r="G238" i="2"/>
  <c r="C249" i="2" s="1"/>
  <c r="G310" i="2"/>
  <c r="C321" i="2" s="1"/>
  <c r="G136" i="2"/>
  <c r="C147" i="2" s="1"/>
  <c r="G276" i="2"/>
  <c r="C287" i="2" s="1"/>
  <c r="G241" i="2"/>
  <c r="C252" i="2" s="1"/>
  <c r="G312" i="2"/>
  <c r="C323" i="2" s="1"/>
  <c r="G138" i="2"/>
  <c r="C149" i="2" s="1"/>
  <c r="G278" i="2"/>
  <c r="C289" i="2" s="1"/>
  <c r="G243" i="2"/>
  <c r="C254" i="2" s="1"/>
  <c r="G304" i="2"/>
  <c r="C316" i="2" s="1"/>
  <c r="G270" i="2"/>
  <c r="C282" i="2" s="1"/>
  <c r="G130" i="2"/>
  <c r="C142" i="2" s="1"/>
  <c r="G235" i="2"/>
  <c r="C247" i="2" s="1"/>
  <c r="G236" i="2"/>
  <c r="C248" i="2" s="1"/>
  <c r="D248" i="2" s="1"/>
  <c r="G305" i="2"/>
  <c r="C317" i="2" s="1"/>
  <c r="D317" i="2" s="1"/>
  <c r="G131" i="2"/>
  <c r="C143" i="2" s="1"/>
  <c r="G271" i="2"/>
  <c r="C77" i="2"/>
  <c r="D77" i="2" s="1"/>
  <c r="C42" i="2"/>
  <c r="D42" i="2" s="1"/>
  <c r="C78" i="2"/>
  <c r="D78" i="2" s="1"/>
  <c r="C43" i="2"/>
  <c r="D43" i="2" s="1"/>
  <c r="G166" i="2"/>
  <c r="C178" i="2" s="1"/>
  <c r="D178" i="2" s="1"/>
  <c r="C283" i="2"/>
  <c r="D283" i="2" s="1"/>
  <c r="G202" i="2"/>
  <c r="C214" i="2" s="1"/>
  <c r="D214" i="2" s="1"/>
  <c r="G36" i="2"/>
  <c r="G174" i="2"/>
  <c r="C185" i="2" s="1"/>
  <c r="D185" i="2" s="1"/>
  <c r="G210" i="2"/>
  <c r="C221" i="2" s="1"/>
  <c r="D221" i="2" s="1"/>
  <c r="C290" i="2"/>
  <c r="D290" i="2" s="1"/>
  <c r="G207" i="2"/>
  <c r="C218" i="2" s="1"/>
  <c r="G171" i="2"/>
  <c r="G168" i="2"/>
  <c r="G204" i="2"/>
  <c r="C215" i="2" s="1"/>
  <c r="D215" i="2" s="1"/>
  <c r="G209" i="2"/>
  <c r="C220" i="2" s="1"/>
  <c r="G173" i="2"/>
  <c r="G201" i="2"/>
  <c r="C213" i="2" s="1"/>
  <c r="G165" i="2"/>
  <c r="C177" i="2" s="1"/>
  <c r="D177" i="2" s="1"/>
  <c r="G63" i="2"/>
  <c r="C75" i="2" s="1"/>
  <c r="D75" i="2" s="1"/>
  <c r="G28" i="2"/>
  <c r="C40" i="2" s="1"/>
  <c r="G64" i="2"/>
  <c r="C76" i="2" s="1"/>
  <c r="D76" i="2" s="1"/>
  <c r="G29" i="2"/>
  <c r="C41" i="2" s="1"/>
  <c r="D41" i="2" s="1"/>
  <c r="G37" i="2"/>
  <c r="C48" i="2" s="1"/>
  <c r="D48" i="2" s="1"/>
  <c r="G72" i="2"/>
  <c r="C83" i="2" s="1"/>
  <c r="D83" i="2" s="1"/>
  <c r="C324" i="2"/>
  <c r="D324" i="2" s="1"/>
  <c r="G34" i="2"/>
  <c r="C45" i="2" s="1"/>
  <c r="G71" i="2"/>
  <c r="C82" i="2" s="1"/>
  <c r="D82" i="2" s="1"/>
  <c r="G69" i="2"/>
  <c r="C80" i="2" s="1"/>
  <c r="D80" i="2" s="1"/>
  <c r="AQ76" i="7"/>
  <c r="AQ75" i="7"/>
  <c r="AR76" i="7"/>
  <c r="AR75" i="7"/>
  <c r="AP75" i="7" s="1"/>
  <c r="R128" i="7"/>
  <c r="G130" i="7" s="1"/>
  <c r="R127" i="7"/>
  <c r="R56" i="7"/>
  <c r="R55" i="7"/>
  <c r="G57" i="7" s="1"/>
  <c r="R91" i="7"/>
  <c r="R90" i="7"/>
  <c r="F83" i="6"/>
  <c r="C83" i="6"/>
  <c r="AJ45" i="7"/>
  <c r="C54" i="6" s="1"/>
  <c r="AJ16" i="7"/>
  <c r="F32" i="6" s="1"/>
  <c r="AJ24" i="7"/>
  <c r="I32" i="6" s="1"/>
  <c r="AJ10" i="7"/>
  <c r="C32" i="6" s="1"/>
  <c r="R4" i="7"/>
  <c r="G6" i="7" s="1"/>
  <c r="AJ140" i="7"/>
  <c r="F148" i="6" s="1"/>
  <c r="AJ133" i="7"/>
  <c r="C148" i="6" s="1"/>
  <c r="AJ150" i="7"/>
  <c r="I148" i="6" s="1"/>
  <c r="AJ96" i="7"/>
  <c r="C118" i="6" s="1"/>
  <c r="AJ103" i="7"/>
  <c r="F118" i="6" s="1"/>
  <c r="AJ112" i="7"/>
  <c r="I118" i="6" s="1"/>
  <c r="AJ77" i="7"/>
  <c r="I85" i="6" s="1"/>
  <c r="AJ61" i="7"/>
  <c r="C85" i="6" s="1"/>
  <c r="AJ67" i="7"/>
  <c r="F85" i="6" s="1"/>
  <c r="R14" i="7"/>
  <c r="B15" i="7" s="1"/>
  <c r="R3" i="7"/>
  <c r="G5" i="7" s="1"/>
  <c r="R24" i="7"/>
  <c r="G29" i="7" s="1"/>
  <c r="R23" i="7"/>
  <c r="B27" i="7" s="1"/>
  <c r="G26" i="7" s="1"/>
  <c r="I116" i="6"/>
  <c r="F116" i="6"/>
  <c r="C116" i="6"/>
  <c r="R67" i="7"/>
  <c r="G67" i="7" s="1"/>
  <c r="R150" i="7"/>
  <c r="R149" i="7"/>
  <c r="B151" i="7" s="1"/>
  <c r="R113" i="7"/>
  <c r="R112" i="7"/>
  <c r="B114" i="7" s="1"/>
  <c r="R77" i="7"/>
  <c r="R78" i="7"/>
  <c r="B140" i="7"/>
  <c r="R40" i="7"/>
  <c r="B139" i="7"/>
  <c r="R141" i="7"/>
  <c r="R39" i="7"/>
  <c r="AC5" i="7"/>
  <c r="AD4" i="7" s="1"/>
  <c r="U68" i="7"/>
  <c r="R68" i="7" s="1"/>
  <c r="B103" i="7"/>
  <c r="R103" i="7"/>
  <c r="G104" i="7" s="1"/>
  <c r="B16" i="7"/>
  <c r="C145" i="2" l="1"/>
  <c r="D249" i="2"/>
  <c r="H260" i="2"/>
  <c r="D252" i="2"/>
  <c r="G252" i="2"/>
  <c r="H252" i="2" s="1"/>
  <c r="D247" i="2"/>
  <c r="C250" i="2"/>
  <c r="D250" i="2" s="1"/>
  <c r="D254" i="2"/>
  <c r="G254" i="2"/>
  <c r="H254" i="2" s="1"/>
  <c r="D316" i="2"/>
  <c r="G321" i="2"/>
  <c r="H321" i="2" s="1"/>
  <c r="D321" i="2"/>
  <c r="D323" i="2"/>
  <c r="G323" i="2"/>
  <c r="H323" i="2" s="1"/>
  <c r="D289" i="2"/>
  <c r="G289" i="2"/>
  <c r="H289" i="2" s="1"/>
  <c r="G287" i="2"/>
  <c r="H287" i="2" s="1"/>
  <c r="D287" i="2"/>
  <c r="D282" i="2"/>
  <c r="F88" i="2"/>
  <c r="AP76" i="7"/>
  <c r="B42" i="7"/>
  <c r="G42" i="7"/>
  <c r="B41" i="7"/>
  <c r="G41" i="7"/>
  <c r="C88" i="2"/>
  <c r="E88" i="2" s="1"/>
  <c r="D143" i="2"/>
  <c r="D218" i="2"/>
  <c r="G218" i="2"/>
  <c r="H218" i="2" s="1"/>
  <c r="C184" i="2"/>
  <c r="D184" i="2" s="1"/>
  <c r="G220" i="2"/>
  <c r="H220" i="2" s="1"/>
  <c r="D220" i="2"/>
  <c r="D213" i="2"/>
  <c r="C179" i="2"/>
  <c r="D179" i="2" s="1"/>
  <c r="C180" i="2"/>
  <c r="D180" i="2" s="1"/>
  <c r="C182" i="2"/>
  <c r="D182" i="2" s="1"/>
  <c r="D142" i="2"/>
  <c r="D149" i="2"/>
  <c r="G149" i="2"/>
  <c r="H149" i="2" s="1"/>
  <c r="G147" i="2"/>
  <c r="H147" i="2" s="1"/>
  <c r="D147" i="2"/>
  <c r="D145" i="2"/>
  <c r="C216" i="2"/>
  <c r="H329" i="2"/>
  <c r="H295" i="2"/>
  <c r="G80" i="2"/>
  <c r="H80" i="2" s="1"/>
  <c r="H88" i="2"/>
  <c r="H226" i="2"/>
  <c r="H155" i="2"/>
  <c r="G45" i="2"/>
  <c r="H45" i="2" s="1"/>
  <c r="D45" i="2"/>
  <c r="D40" i="2"/>
  <c r="G40" i="2"/>
  <c r="H40" i="2" s="1"/>
  <c r="C319" i="2"/>
  <c r="G75" i="2"/>
  <c r="H75" i="2" s="1"/>
  <c r="B53" i="2"/>
  <c r="F53" i="2" s="1"/>
  <c r="C53" i="2"/>
  <c r="G53" i="2" s="1"/>
  <c r="G82" i="2"/>
  <c r="H82" i="2" s="1"/>
  <c r="C285" i="2"/>
  <c r="G88" i="2"/>
  <c r="C47" i="2"/>
  <c r="G47" i="2" s="1"/>
  <c r="H47" i="2" s="1"/>
  <c r="H53" i="2"/>
  <c r="AP87" i="7"/>
  <c r="I86" i="6" s="1"/>
  <c r="B6" i="7"/>
  <c r="B28" i="7"/>
  <c r="G27" i="7" s="1"/>
  <c r="B26" i="7"/>
  <c r="R7" i="7"/>
  <c r="G8" i="7" s="1"/>
  <c r="G31" i="7"/>
  <c r="B5" i="7"/>
  <c r="G15" i="7"/>
  <c r="B115" i="7"/>
  <c r="G114" i="7" s="1"/>
  <c r="G113" i="7"/>
  <c r="G118" i="7"/>
  <c r="G116" i="7"/>
  <c r="B25" i="7"/>
  <c r="G25" i="7"/>
  <c r="B29" i="7"/>
  <c r="B93" i="7"/>
  <c r="G93" i="7"/>
  <c r="G28" i="7"/>
  <c r="K28" i="7" s="1"/>
  <c r="G30" i="7"/>
  <c r="G117" i="7"/>
  <c r="G119" i="7"/>
  <c r="I30" i="6"/>
  <c r="F30" i="6"/>
  <c r="C30" i="6"/>
  <c r="G94" i="7"/>
  <c r="B150" i="7"/>
  <c r="B67" i="7"/>
  <c r="B57" i="7"/>
  <c r="R131" i="7"/>
  <c r="B134" i="7" s="1"/>
  <c r="G58" i="7"/>
  <c r="B143" i="7"/>
  <c r="G142" i="7"/>
  <c r="G81" i="7"/>
  <c r="G83" i="7"/>
  <c r="G82" i="7"/>
  <c r="G80" i="7"/>
  <c r="B80" i="7"/>
  <c r="G79" i="7" s="1"/>
  <c r="B78" i="7"/>
  <c r="B81" i="7"/>
  <c r="G77" i="7"/>
  <c r="B77" i="7"/>
  <c r="B79" i="7"/>
  <c r="G78" i="7" s="1"/>
  <c r="G141" i="7"/>
  <c r="B113" i="7"/>
  <c r="K112" i="7" s="1"/>
  <c r="B117" i="7"/>
  <c r="G150" i="7"/>
  <c r="G151" i="7"/>
  <c r="G149" i="7"/>
  <c r="B153" i="7"/>
  <c r="B149" i="7"/>
  <c r="B152" i="7"/>
  <c r="B116" i="7"/>
  <c r="G115" i="7" s="1"/>
  <c r="G154" i="7"/>
  <c r="G155" i="7"/>
  <c r="G153" i="7"/>
  <c r="G152" i="7"/>
  <c r="B129" i="7"/>
  <c r="G129" i="7"/>
  <c r="R69" i="7"/>
  <c r="G68" i="7"/>
  <c r="B130" i="7"/>
  <c r="B144" i="7"/>
  <c r="B141" i="7"/>
  <c r="R43" i="7"/>
  <c r="G44" i="7" s="1"/>
  <c r="B142" i="7"/>
  <c r="B68" i="7"/>
  <c r="B104" i="7"/>
  <c r="R104" i="7"/>
  <c r="G105" i="7" s="1"/>
  <c r="G247" i="2" l="1"/>
  <c r="H247" i="2" s="1"/>
  <c r="B260" i="2"/>
  <c r="C260" i="2"/>
  <c r="D88" i="2"/>
  <c r="B329" i="2"/>
  <c r="F329" i="2" s="1"/>
  <c r="D319" i="2"/>
  <c r="G316" i="2"/>
  <c r="H316" i="2" s="1"/>
  <c r="C295" i="2"/>
  <c r="G295" i="2" s="1"/>
  <c r="D285" i="2"/>
  <c r="G282" i="2"/>
  <c r="H282" i="2" s="1"/>
  <c r="H190" i="2"/>
  <c r="G43" i="7"/>
  <c r="E53" i="2"/>
  <c r="B155" i="2"/>
  <c r="F155" i="2" s="1"/>
  <c r="C155" i="2"/>
  <c r="G155" i="2" s="1"/>
  <c r="B10" i="7"/>
  <c r="C226" i="2"/>
  <c r="G226" i="2" s="1"/>
  <c r="D216" i="2"/>
  <c r="K26" i="7"/>
  <c r="G213" i="2"/>
  <c r="H213" i="2" s="1"/>
  <c r="B19" i="7"/>
  <c r="B18" i="7"/>
  <c r="G182" i="2"/>
  <c r="H182" i="2" s="1"/>
  <c r="B20" i="7"/>
  <c r="G184" i="2"/>
  <c r="H184" i="2" s="1"/>
  <c r="B17" i="7"/>
  <c r="G7" i="7"/>
  <c r="K5" i="7" s="1"/>
  <c r="D53" i="2"/>
  <c r="B226" i="2"/>
  <c r="F226" i="2" s="1"/>
  <c r="G177" i="2"/>
  <c r="H177" i="2" s="1"/>
  <c r="G142" i="2"/>
  <c r="H142" i="2" s="1"/>
  <c r="B190" i="2"/>
  <c r="F190" i="2" s="1"/>
  <c r="C190" i="2"/>
  <c r="G190" i="2" s="1"/>
  <c r="B295" i="2"/>
  <c r="F295" i="2" s="1"/>
  <c r="C329" i="2"/>
  <c r="G329" i="2" s="1"/>
  <c r="D47" i="2"/>
  <c r="G17" i="7"/>
  <c r="K25" i="7"/>
  <c r="G18" i="7"/>
  <c r="B9" i="7"/>
  <c r="K27" i="7"/>
  <c r="M25" i="7" s="1"/>
  <c r="K29" i="7"/>
  <c r="B7" i="7"/>
  <c r="B8" i="7"/>
  <c r="R94" i="7"/>
  <c r="G95" i="7" s="1"/>
  <c r="K77" i="7"/>
  <c r="K148" i="7"/>
  <c r="B94" i="7"/>
  <c r="K115" i="7"/>
  <c r="K116" i="7"/>
  <c r="K149" i="7"/>
  <c r="G131" i="7"/>
  <c r="B106" i="7"/>
  <c r="G106" i="7"/>
  <c r="K139" i="7"/>
  <c r="M138" i="7" s="1"/>
  <c r="N138" i="7" s="1"/>
  <c r="F147" i="6" s="1"/>
  <c r="B70" i="7"/>
  <c r="R59" i="7"/>
  <c r="G59" i="7" s="1"/>
  <c r="B58" i="7"/>
  <c r="G132" i="7"/>
  <c r="B132" i="7"/>
  <c r="B133" i="7"/>
  <c r="K80" i="7"/>
  <c r="K81" i="7"/>
  <c r="B71" i="7"/>
  <c r="K152" i="7"/>
  <c r="B69" i="7"/>
  <c r="K150" i="7"/>
  <c r="K151" i="7"/>
  <c r="B131" i="7"/>
  <c r="B45" i="7"/>
  <c r="K79" i="7"/>
  <c r="K78" i="7"/>
  <c r="K113" i="7"/>
  <c r="K114" i="7"/>
  <c r="B72" i="7"/>
  <c r="G70" i="7"/>
  <c r="G69" i="7"/>
  <c r="K138" i="7"/>
  <c r="B46" i="7"/>
  <c r="K41" i="7"/>
  <c r="B43" i="7"/>
  <c r="B44" i="7"/>
  <c r="B105" i="7"/>
  <c r="B107" i="7"/>
  <c r="B108" i="7"/>
  <c r="D329" i="2" l="1"/>
  <c r="E295" i="2"/>
  <c r="G260" i="2"/>
  <c r="E260" i="2"/>
  <c r="F260" i="2"/>
  <c r="D260" i="2"/>
  <c r="D155" i="2"/>
  <c r="E155" i="2"/>
  <c r="E226" i="2"/>
  <c r="K4" i="7"/>
  <c r="K15" i="7"/>
  <c r="K14" i="7"/>
  <c r="B97" i="7"/>
  <c r="B96" i="7"/>
  <c r="D226" i="2"/>
  <c r="D190" i="2"/>
  <c r="E190" i="2"/>
  <c r="D295" i="2"/>
  <c r="E329" i="2"/>
  <c r="G96" i="7"/>
  <c r="K93" i="7" s="1"/>
  <c r="B95" i="7"/>
  <c r="M77" i="7"/>
  <c r="N77" i="7" s="1"/>
  <c r="I82" i="6" s="1"/>
  <c r="I84" i="6" s="1"/>
  <c r="B98" i="7"/>
  <c r="M112" i="7"/>
  <c r="N112" i="7" s="1"/>
  <c r="I115" i="6" s="1"/>
  <c r="I117" i="6" s="1"/>
  <c r="B59" i="7"/>
  <c r="K129" i="7"/>
  <c r="M128" i="7" s="1"/>
  <c r="N128" i="7" s="1"/>
  <c r="C147" i="6" s="1"/>
  <c r="G60" i="7"/>
  <c r="K57" i="7" s="1"/>
  <c r="M148" i="7"/>
  <c r="N148" i="7" s="1"/>
  <c r="I147" i="6" s="1"/>
  <c r="B61" i="7"/>
  <c r="B60" i="7"/>
  <c r="B62" i="7"/>
  <c r="N25" i="7"/>
  <c r="I29" i="6" s="1"/>
  <c r="I31" i="6" s="1"/>
  <c r="K128" i="7"/>
  <c r="K67" i="7"/>
  <c r="K66" i="7"/>
  <c r="M66" i="7" s="1"/>
  <c r="N66" i="7" s="1"/>
  <c r="F82" i="6" s="1"/>
  <c r="F84" i="6" s="1"/>
  <c r="M40" i="7"/>
  <c r="N40" i="7" s="1"/>
  <c r="C53" i="6" s="1"/>
  <c r="M14" i="7"/>
  <c r="N14" i="7" s="1"/>
  <c r="F29" i="6" s="1"/>
  <c r="F31" i="6" s="1"/>
  <c r="K103" i="7"/>
  <c r="M4" i="7"/>
  <c r="N4" i="7" s="1"/>
  <c r="C29" i="6" s="1"/>
  <c r="C31" i="6" s="1"/>
  <c r="K40" i="7"/>
  <c r="K102" i="7"/>
  <c r="K92" i="7" l="1"/>
  <c r="K56" i="7"/>
  <c r="M56" i="7" s="1"/>
  <c r="N56" i="7" s="1"/>
  <c r="C82" i="6" s="1"/>
  <c r="C84" i="6" s="1"/>
  <c r="M102" i="7"/>
  <c r="N102" i="7" s="1"/>
  <c r="F115" i="6" s="1"/>
  <c r="F117" i="6" s="1"/>
  <c r="M92" i="7"/>
  <c r="N92" i="7" s="1"/>
  <c r="C115" i="6" s="1"/>
  <c r="C117" i="6" s="1"/>
  <c r="M24" i="3"/>
  <c r="N24" i="3"/>
  <c r="O24" i="3"/>
  <c r="P24" i="3"/>
  <c r="L24" i="3"/>
  <c r="Q24" i="3"/>
  <c r="Q25" i="3" l="1"/>
  <c r="P25" i="3"/>
  <c r="O25" i="3"/>
  <c r="N25" i="3"/>
  <c r="L25" i="3"/>
  <c r="M2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Héctor</author>
  </authors>
  <commentList>
    <comment ref="F2" authorId="0" shapeId="0" xr:uid="{318AD33E-7CF5-417F-8698-5419F20C6F15}">
      <text>
        <r>
          <rPr>
            <sz val="9"/>
            <color indexed="81"/>
            <rFont val="Tahoma"/>
            <charset val="1"/>
          </rPr>
          <t>Se analizan secciones rectuangulares</t>
        </r>
      </text>
    </comment>
    <comment ref="L2" authorId="0" shapeId="0" xr:uid="{4D87768C-2AC0-467D-B19A-BFC70B9FCB24}">
      <text>
        <r>
          <rPr>
            <b/>
            <sz val="9"/>
            <color indexed="81"/>
            <rFont val="Tahoma"/>
            <family val="2"/>
          </rPr>
          <t>ATENCIÓN</t>
        </r>
        <r>
          <rPr>
            <sz val="9"/>
            <color indexed="81"/>
            <rFont val="Tahoma"/>
            <family val="2"/>
          </rPr>
          <t xml:space="preserve">
Una hipótesis de carga solamente puede tener un esfuerzo Axil asociado, no dos a la vez.
</t>
        </r>
      </text>
    </comment>
    <comment ref="M2" authorId="0" shapeId="0" xr:uid="{B29E863A-F204-4E90-AD6B-D10BFEF4FECD}">
      <text>
        <r>
          <rPr>
            <b/>
            <sz val="9"/>
            <color indexed="81"/>
            <rFont val="Tahoma"/>
            <family val="2"/>
          </rPr>
          <t xml:space="preserve">ATENCIÓN
</t>
        </r>
        <r>
          <rPr>
            <sz val="9"/>
            <color indexed="81"/>
            <rFont val="Tahoma"/>
            <family val="2"/>
          </rPr>
          <t>Una hipótesis de carga solamente puede tener un esfuerzo Axil asociado, no dos a la vez.</t>
        </r>
      </text>
    </comment>
    <comment ref="A20" authorId="0" shapeId="0" xr:uid="{790786A9-5A1B-4F41-A710-C328DF2DE5CF}">
      <text>
        <r>
          <rPr>
            <sz val="9"/>
            <color indexed="81"/>
            <rFont val="Tahoma"/>
            <family val="2"/>
          </rPr>
          <t>CTE DB-SE M 2019
Tabla 2.3
Coeficientes parciales de seguridad para el material</t>
        </r>
      </text>
    </comment>
    <comment ref="A21" authorId="0" shapeId="0" xr:uid="{D907C710-F650-46EC-9F1A-CD6760B20950}">
      <text>
        <r>
          <rPr>
            <sz val="9"/>
            <color indexed="81"/>
            <rFont val="Tahoma"/>
            <family val="2"/>
          </rPr>
          <t>CTE DB-SE M 2019
Tabla 2.4
Factor de modificación (por duración de la carga y clase de servicio)</t>
        </r>
      </text>
    </comment>
    <comment ref="A23" authorId="0" shapeId="0" xr:uid="{EA0C60D5-D69C-47BF-9E21-31EF5FE20EAD}">
      <text>
        <r>
          <rPr>
            <sz val="9"/>
            <color indexed="81"/>
            <rFont val="Tahoma"/>
            <family val="2"/>
          </rPr>
          <t>CTE DB-SE M 2019
6.1.8
Factor modificador del ancho de la pieza en comprobación de cortante</t>
        </r>
      </text>
    </comment>
    <comment ref="A24" authorId="0" shapeId="0" xr:uid="{088F7F6D-061C-4F5F-9AC5-B1333141BDB1}">
      <text>
        <r>
          <rPr>
            <sz val="9"/>
            <color indexed="81"/>
            <rFont val="Tahoma"/>
            <family val="2"/>
          </rPr>
          <t>CTE DB-SE M 2019
6.1.7
Factor que tiene en cuenta el efecto de redistribución de tensiones y la falta de homogeneidad del material</t>
        </r>
      </text>
    </comment>
    <comment ref="A25" authorId="0" shapeId="0" xr:uid="{5DD0C7C2-0B9F-4C5D-97EA-B56B296E76E8}">
      <text>
        <r>
          <rPr>
            <sz val="9"/>
            <color indexed="81"/>
            <rFont val="Tahoma"/>
            <family val="2"/>
          </rPr>
          <t>CTE DB-SE M 2019
2.2.1.2
Factor de altura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Héctor</author>
  </authors>
  <commentList>
    <comment ref="I2" authorId="0" shapeId="0" xr:uid="{AF7A09A5-E6E9-4B65-96CE-4D570E8A14F0}">
      <text>
        <r>
          <rPr>
            <sz val="9"/>
            <color indexed="81"/>
            <rFont val="Tahoma"/>
            <charset val="1"/>
          </rPr>
          <t>Solo en el caso de vigas curvas con momentos flectores positivos</t>
        </r>
      </text>
    </comment>
    <comment ref="D3" authorId="0" shapeId="0" xr:uid="{B6BDAA5A-E932-4C90-87CD-F8C6694C5762}">
      <text>
        <r>
          <rPr>
            <sz val="9"/>
            <color indexed="81"/>
            <rFont val="Tahoma"/>
            <family val="2"/>
          </rPr>
          <t>CTE DB-SE M 2019
6.1.5</t>
        </r>
        <r>
          <rPr>
            <b/>
            <sz val="9"/>
            <color indexed="81"/>
            <rFont val="Tahoma"/>
            <family val="2"/>
          </rPr>
          <t xml:space="preserve">
ELECCIÓN COEFICIENTE
</t>
        </r>
        <r>
          <rPr>
            <sz val="9"/>
            <color indexed="81"/>
            <rFont val="Tahoma"/>
            <family val="2"/>
          </rPr>
          <t xml:space="preserve">
Caso de durmientes (apoyo continuo)
kc=1,25 (madera maciza de coníferas)
kc=1,50 (madera laminada encolada de coníferas)
Caso de apoyos aislados
kc=1,50 (madera maciza de coníferas)
kc=1,75 (madera laminada encolada de coníferas)
Si no aplica / Todos los demás casos
kc=1,00</t>
        </r>
      </text>
    </comment>
    <comment ref="I3" authorId="0" shapeId="0" xr:uid="{114B7EBC-7448-4410-9AB0-555D505E4152}">
      <text>
        <r>
          <rPr>
            <sz val="9"/>
            <color indexed="81"/>
            <rFont val="Tahoma"/>
            <family val="2"/>
          </rPr>
          <t>Momento flector usado para calcular σt,90,d</t>
        </r>
      </text>
    </comment>
    <comment ref="C4" authorId="0" shapeId="0" xr:uid="{589C9A79-9250-4AC0-9622-915ADAA04E49}">
      <text>
        <r>
          <rPr>
            <sz val="9"/>
            <color indexed="81"/>
            <rFont val="Tahoma"/>
            <family val="2"/>
          </rPr>
          <t>CTE DB-SE M 2019
6.1.5
Longitud de contacto eficaz en compresión perpendicular a la fibra.</t>
        </r>
      </text>
    </comment>
    <comment ref="I4" authorId="0" shapeId="0" xr:uid="{D7ED8E30-F404-4DAA-A424-C9F01CA2E60E}">
      <text>
        <r>
          <rPr>
            <sz val="9"/>
            <color indexed="81"/>
            <rFont val="Tahoma"/>
            <family val="2"/>
          </rPr>
          <t>Radio medio de la pieza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Héctor</author>
  </authors>
  <commentList>
    <comment ref="B4" authorId="0" shapeId="0" xr:uid="{D9F6EC32-B418-4832-BFB9-60CE81683A81}">
      <text>
        <r>
          <rPr>
            <sz val="9"/>
            <color indexed="81"/>
            <rFont val="Tahoma"/>
            <family val="2"/>
          </rPr>
          <t>Si se desea modificar, consultar en la pág. Valores de cálculo</t>
        </r>
      </text>
    </comment>
    <comment ref="A7" authorId="0" shapeId="0" xr:uid="{DAC908B0-6574-44DB-9B7A-623968FD9094}">
      <text>
        <r>
          <rPr>
            <sz val="9"/>
            <color indexed="81"/>
            <rFont val="Tahoma"/>
            <family val="2"/>
          </rPr>
          <t>CTE DB-SE M
Tabla 2.4
Factor de modificación (por duración de la carga y clase de servicio)</t>
        </r>
      </text>
    </comment>
    <comment ref="A8" authorId="0" shapeId="0" xr:uid="{CE0D9B9D-98B2-4AA7-975B-1344B70A834D}">
      <text>
        <r>
          <rPr>
            <sz val="9"/>
            <color indexed="81"/>
            <rFont val="Tahoma"/>
            <family val="2"/>
          </rPr>
          <t>CTE DB-SE M
Tabla 2.3
Coeficientes parciales de seguridad para el material</t>
        </r>
      </text>
    </comment>
    <comment ref="A12" authorId="0" shapeId="0" xr:uid="{5EE5D7C1-8CC3-4A80-ACD1-150012F3EAD2}">
      <text>
        <r>
          <rPr>
            <sz val="9"/>
            <color indexed="81"/>
            <rFont val="Tahoma"/>
            <family val="2"/>
          </rPr>
          <t>Consultar boceto adjunto para determinar espesores.</t>
        </r>
      </text>
    </comment>
    <comment ref="C15" authorId="0" shapeId="0" xr:uid="{D700AF77-6379-4F12-974B-AF7FC90B5553}">
      <text>
        <r>
          <rPr>
            <b/>
            <sz val="9"/>
            <color indexed="81"/>
            <rFont val="Tahoma"/>
            <family val="2"/>
          </rPr>
          <t>DIÁMETROS MÁS COMUNES:</t>
        </r>
        <r>
          <rPr>
            <sz val="9"/>
            <color indexed="81"/>
            <rFont val="Tahoma"/>
            <family val="2"/>
          </rPr>
          <t xml:space="preserve">
2 mm (min)
4 mm
5 mm
6 mm
8 mm (max)</t>
        </r>
      </text>
    </comment>
    <comment ref="C16" authorId="0" shapeId="0" xr:uid="{E4699FE5-CBA7-48F6-A0A1-4FC28B308ADF}">
      <text>
        <r>
          <rPr>
            <b/>
            <sz val="9"/>
            <color indexed="81"/>
            <rFont val="Tahoma"/>
            <family val="2"/>
          </rPr>
          <t xml:space="preserve">CALIDAD COMÚN
</t>
        </r>
        <r>
          <rPr>
            <sz val="9"/>
            <color indexed="81"/>
            <rFont val="Tahoma"/>
            <family val="2"/>
          </rPr>
          <t>600 N/mm2 (min)</t>
        </r>
      </text>
    </comment>
    <comment ref="B17" authorId="0" shapeId="0" xr:uid="{E0F0B4D1-3BD2-4F8B-B2C7-D942C6FF8396}">
      <text>
        <r>
          <rPr>
            <sz val="9"/>
            <color indexed="81"/>
            <rFont val="Tahoma"/>
            <family val="2"/>
          </rPr>
          <t>CTE DB-SE M
8.3.2.2
Longitud de penetración en la pieza de punta</t>
        </r>
      </text>
    </comment>
    <comment ref="B18" authorId="0" shapeId="0" xr:uid="{10CC5056-EB38-42D0-9EA2-FD5533CDFE30}">
      <text>
        <r>
          <rPr>
            <sz val="9"/>
            <color indexed="81"/>
            <rFont val="Tahoma"/>
            <family val="2"/>
          </rPr>
          <t>Longitud de la unión</t>
        </r>
      </text>
    </comment>
    <comment ref="B20" authorId="0" shapeId="0" xr:uid="{60383F96-BD2A-4426-8A86-F11B6979A581}">
      <text>
        <r>
          <rPr>
            <sz val="9"/>
            <color indexed="81"/>
            <rFont val="Tahoma"/>
            <family val="2"/>
          </rPr>
          <t>Número de clavos alineados paralelos a la fuerza</t>
        </r>
      </text>
    </comment>
    <comment ref="B21" authorId="0" shapeId="0" xr:uid="{D0EDA9E1-2157-4C3A-A6C3-3D89F9C248A1}">
      <text>
        <r>
          <rPr>
            <sz val="9"/>
            <color indexed="81"/>
            <rFont val="Tahoma"/>
            <family val="2"/>
          </rPr>
          <t>Número de filas de elementos</t>
        </r>
      </text>
    </comment>
    <comment ref="I26" authorId="0" shapeId="0" xr:uid="{E90FC4FF-8204-4BE2-B6D3-137166F212DA}">
      <text>
        <r>
          <rPr>
            <b/>
            <sz val="9"/>
            <color indexed="81"/>
            <rFont val="Tahoma"/>
            <family val="2"/>
          </rPr>
          <t xml:space="preserve">DEFINICIONES
</t>
        </r>
        <r>
          <rPr>
            <sz val="9"/>
            <color indexed="81"/>
            <rFont val="Tahoma"/>
            <family val="2"/>
          </rPr>
          <t>Placa delgada (t&lt;0,5d)
Placa gruesa (t≥d)</t>
        </r>
        <r>
          <rPr>
            <sz val="9"/>
            <color indexed="81"/>
            <rFont val="Tahoma"/>
            <family val="2"/>
          </rPr>
          <t xml:space="preserve">
</t>
        </r>
      </text>
    </comment>
    <comment ref="A37" authorId="0" shapeId="0" xr:uid="{CE8A0048-2911-430E-A7A1-0A32F183C4DB}">
      <text>
        <r>
          <rPr>
            <sz val="9"/>
            <color indexed="81"/>
            <rFont val="Tahoma"/>
            <family val="2"/>
          </rPr>
          <t>Consultar boceto adjunto para determinar espesores.</t>
        </r>
      </text>
    </comment>
    <comment ref="C40" authorId="0" shapeId="0" xr:uid="{6E422C2F-B08F-495B-B7C5-D80D20634358}">
      <text>
        <r>
          <rPr>
            <b/>
            <sz val="9"/>
            <color indexed="81"/>
            <rFont val="Tahoma"/>
            <family val="2"/>
          </rPr>
          <t>DIÁMETROS MÁS COMUNES:</t>
        </r>
        <r>
          <rPr>
            <sz val="9"/>
            <color indexed="81"/>
            <rFont val="Tahoma"/>
            <family val="2"/>
          </rPr>
          <t xml:space="preserve">
1,2 - 2 mm</t>
        </r>
      </text>
    </comment>
    <comment ref="C41" authorId="0" shapeId="0" xr:uid="{8092B33B-25BB-4934-A3FC-A16BCF4B4931}">
      <text>
        <r>
          <rPr>
            <b/>
            <sz val="9"/>
            <color indexed="81"/>
            <rFont val="Tahoma"/>
            <family val="2"/>
          </rPr>
          <t xml:space="preserve">CALIDAD COMÚN
</t>
        </r>
        <r>
          <rPr>
            <sz val="9"/>
            <color indexed="81"/>
            <rFont val="Tahoma"/>
            <family val="2"/>
          </rPr>
          <t>800 N/mm2 (min)</t>
        </r>
      </text>
    </comment>
    <comment ref="B43" authorId="0" shapeId="0" xr:uid="{FB787556-4B01-45BC-A63A-80C6E1079F41}">
      <text>
        <r>
          <rPr>
            <sz val="9"/>
            <color indexed="81"/>
            <rFont val="Tahoma"/>
            <family val="2"/>
          </rPr>
          <t>Longitud de la unión</t>
        </r>
      </text>
    </comment>
    <comment ref="B44" authorId="0" shapeId="0" xr:uid="{5616C6A8-F745-4883-8636-1D60DD90057D}">
      <text>
        <r>
          <rPr>
            <sz val="9"/>
            <color indexed="81"/>
            <rFont val="Tahoma"/>
            <family val="2"/>
          </rPr>
          <t>Número de grapas alineadas paralelas a la fuerza</t>
        </r>
      </text>
    </comment>
    <comment ref="B45" authorId="0" shapeId="0" xr:uid="{1D4D6FED-60CC-4697-A091-491A5599C326}">
      <text>
        <r>
          <rPr>
            <sz val="9"/>
            <color indexed="81"/>
            <rFont val="Tahoma"/>
            <family val="2"/>
          </rPr>
          <t>Número de filas de elementos</t>
        </r>
      </text>
    </comment>
    <comment ref="A59" authorId="0" shapeId="0" xr:uid="{B9949926-2DAB-4572-998B-423A4A38993B}">
      <text>
        <r>
          <rPr>
            <sz val="9"/>
            <color indexed="81"/>
            <rFont val="Tahoma"/>
            <family val="2"/>
          </rPr>
          <t>Consultar boceto adjunto para determinar espesores.</t>
        </r>
      </text>
    </comment>
    <comment ref="C62" authorId="0" shapeId="0" xr:uid="{894788B0-D239-4AA4-8C33-F0BCB0359BBA}">
      <text>
        <r>
          <rPr>
            <b/>
            <sz val="9"/>
            <color indexed="81"/>
            <rFont val="Tahoma"/>
            <family val="2"/>
          </rPr>
          <t>DIÁMETROS MÁS COMUNES:</t>
        </r>
        <r>
          <rPr>
            <sz val="9"/>
            <color indexed="81"/>
            <rFont val="Tahoma"/>
            <family val="2"/>
          </rPr>
          <t xml:space="preserve">
6 mm (min)
10 mm
12 mm
16 mm
20 mm
24 mm
30 mm (max)</t>
        </r>
      </text>
    </comment>
    <comment ref="C63" authorId="0" shapeId="0" xr:uid="{BDD6CADB-8A03-4C21-8664-9790872026F5}">
      <text>
        <r>
          <rPr>
            <b/>
            <sz val="9"/>
            <color indexed="81"/>
            <rFont val="Tahoma"/>
            <family val="2"/>
          </rPr>
          <t>DIÁMETROS MÁS COMUNES:</t>
        </r>
        <r>
          <rPr>
            <sz val="9"/>
            <color indexed="81"/>
            <rFont val="Tahoma"/>
            <family val="2"/>
          </rPr>
          <t xml:space="preserve">
60 mm
80 mm
100 mm</t>
        </r>
      </text>
    </comment>
    <comment ref="C64" authorId="0" shapeId="0" xr:uid="{74953DBC-7A4F-48EB-BE53-E2322FCC5E70}">
      <text>
        <r>
          <rPr>
            <b/>
            <sz val="9"/>
            <color indexed="81"/>
            <rFont val="Tahoma"/>
            <family val="2"/>
          </rPr>
          <t xml:space="preserve">CALIDAD COMÚN
</t>
        </r>
        <r>
          <rPr>
            <sz val="9"/>
            <color indexed="81"/>
            <rFont val="Tahoma"/>
            <family val="2"/>
          </rPr>
          <t>600 N/mm2 (min)
Las calidades habituales son 6.8, 8.8 y 10.8.</t>
        </r>
      </text>
    </comment>
    <comment ref="B65" authorId="0" shapeId="0" xr:uid="{A8595C27-2DDD-4CAC-A8D8-1DB8C6AA8BD1}">
      <text>
        <r>
          <rPr>
            <sz val="9"/>
            <color indexed="81"/>
            <rFont val="Tahoma"/>
            <family val="2"/>
          </rPr>
          <t>Distancia entre centros de agujeros contiguos (dirección paralela del esfuerzo)</t>
        </r>
      </text>
    </comment>
    <comment ref="B66" authorId="0" shapeId="0" xr:uid="{E70827A7-AB17-4712-856C-1AD0936E06F3}">
      <text>
        <r>
          <rPr>
            <sz val="9"/>
            <color indexed="81"/>
            <rFont val="Tahoma"/>
            <family val="2"/>
          </rPr>
          <t>Distancia entre centros de agujeros contiguos (dirección perp. del esfuerzo)</t>
        </r>
      </text>
    </comment>
    <comment ref="B67" authorId="0" shapeId="0" xr:uid="{21F4550A-3785-4462-BABD-F2B81C7F0E8C}">
      <text>
        <r>
          <rPr>
            <sz val="9"/>
            <color indexed="81"/>
            <rFont val="Tahoma"/>
            <family val="2"/>
          </rPr>
          <t>Longitud de la unión</t>
        </r>
      </text>
    </comment>
    <comment ref="B68" authorId="0" shapeId="0" xr:uid="{7BF7C440-716B-4BC9-ADE9-0EBB9878A322}">
      <text>
        <r>
          <rPr>
            <sz val="9"/>
            <color indexed="81"/>
            <rFont val="Tahoma"/>
            <family val="2"/>
          </rPr>
          <t>Número de pernos alineados paralelos a la fuerza</t>
        </r>
      </text>
    </comment>
    <comment ref="B69" authorId="0" shapeId="0" xr:uid="{5B3A34DE-28EA-45FB-BA26-769BA4E8FBDF}">
      <text>
        <r>
          <rPr>
            <sz val="9"/>
            <color indexed="81"/>
            <rFont val="Tahoma"/>
            <family val="2"/>
          </rPr>
          <t>Número de filas de elementos</t>
        </r>
      </text>
    </comment>
    <comment ref="B73" authorId="0" shapeId="0" xr:uid="{C0ED1AEE-D99F-40D0-89FA-EBB4F7211C31}">
      <text>
        <r>
          <rPr>
            <sz val="9"/>
            <color indexed="81"/>
            <rFont val="Tahoma"/>
            <family val="2"/>
          </rPr>
          <t>Tensión de rotura del acero de la chapa</t>
        </r>
      </text>
    </comment>
    <comment ref="B74" authorId="0" shapeId="0" xr:uid="{1140CBBF-015E-4317-B9E0-2CC38D88E112}">
      <text>
        <r>
          <rPr>
            <sz val="9"/>
            <color indexed="81"/>
            <rFont val="Tahoma"/>
            <family val="2"/>
          </rPr>
          <t>Distancia entre centro de un agujero hasta el borde contiguo (dirección paralela al esfuerzo)</t>
        </r>
      </text>
    </comment>
    <comment ref="B75" authorId="0" shapeId="0" xr:uid="{476D188D-A279-4BFB-91F8-449FFDBADCF1}">
      <text>
        <r>
          <rPr>
            <sz val="9"/>
            <color indexed="81"/>
            <rFont val="Tahoma"/>
            <family val="2"/>
          </rPr>
          <t>Distancia entre centro de un agujero hasta el borde contiguo (dirección perp. al esfuerzo)</t>
        </r>
      </text>
    </comment>
    <comment ref="I79" authorId="0" shapeId="0" xr:uid="{3EB82B76-A93C-4AE3-8257-EED7CB06342F}">
      <text>
        <r>
          <rPr>
            <b/>
            <sz val="9"/>
            <color indexed="81"/>
            <rFont val="Tahoma"/>
            <family val="2"/>
          </rPr>
          <t xml:space="preserve">DEFINICIONES
</t>
        </r>
        <r>
          <rPr>
            <sz val="9"/>
            <color indexed="81"/>
            <rFont val="Tahoma"/>
            <family val="2"/>
          </rPr>
          <t>Placa delgada (t&lt;0,5d)
Placa gruesa (t≥d)</t>
        </r>
        <r>
          <rPr>
            <sz val="9"/>
            <color indexed="81"/>
            <rFont val="Tahoma"/>
            <family val="2"/>
          </rPr>
          <t xml:space="preserve">
</t>
        </r>
      </text>
    </comment>
    <comment ref="A92" authorId="0" shapeId="0" xr:uid="{CCE9FFD1-A460-447D-A35A-9CA17B1848BC}">
      <text>
        <r>
          <rPr>
            <sz val="9"/>
            <color indexed="81"/>
            <rFont val="Tahoma"/>
            <family val="2"/>
          </rPr>
          <t>Consultar boceto adjunto para determinar espesores.</t>
        </r>
      </text>
    </comment>
    <comment ref="C95" authorId="0" shapeId="0" xr:uid="{EA5CF1A1-2220-48C5-A380-6C4583E69D9E}">
      <text>
        <r>
          <rPr>
            <b/>
            <sz val="9"/>
            <color indexed="81"/>
            <rFont val="Tahoma"/>
            <family val="2"/>
          </rPr>
          <t>DIÁMETROS MÁS COMUNES:</t>
        </r>
        <r>
          <rPr>
            <sz val="9"/>
            <color indexed="81"/>
            <rFont val="Tahoma"/>
            <family val="2"/>
          </rPr>
          <t xml:space="preserve">
6 mm
10 mm
12 mm
16 mm
20 mm
24 mm (max)</t>
        </r>
      </text>
    </comment>
    <comment ref="C96" authorId="0" shapeId="0" xr:uid="{284F4728-609C-4E8D-90B5-A35C874EC1F5}">
      <text>
        <r>
          <rPr>
            <b/>
            <sz val="9"/>
            <color indexed="81"/>
            <rFont val="Tahoma"/>
            <family val="2"/>
          </rPr>
          <t xml:space="preserve">CALIDAD COMÚN
</t>
        </r>
        <r>
          <rPr>
            <sz val="9"/>
            <color indexed="81"/>
            <rFont val="Tahoma"/>
            <family val="2"/>
          </rPr>
          <t>400 N/mm2 (min)</t>
        </r>
      </text>
    </comment>
    <comment ref="B97" authorId="0" shapeId="0" xr:uid="{2E854057-3DC7-49DD-99D1-1402161BF120}">
      <text>
        <r>
          <rPr>
            <sz val="9"/>
            <color indexed="81"/>
            <rFont val="Tahoma"/>
            <family val="2"/>
          </rPr>
          <t>Longitud de penetración de la parte roscada en la pieza de la punta</t>
        </r>
      </text>
    </comment>
    <comment ref="B98" authorId="0" shapeId="0" xr:uid="{BDC0F6DA-05CB-4982-B37F-74F598EF5DE8}">
      <text>
        <r>
          <rPr>
            <sz val="9"/>
            <color indexed="81"/>
            <rFont val="Tahoma"/>
            <family val="2"/>
          </rPr>
          <t>Distancia entre centros de agujeros contiguos (dirección paralela del esfuerzo)</t>
        </r>
      </text>
    </comment>
    <comment ref="B99" authorId="0" shapeId="0" xr:uid="{93E52D06-1794-4748-AAE7-BD32EE884E54}">
      <text>
        <r>
          <rPr>
            <sz val="9"/>
            <color indexed="81"/>
            <rFont val="Tahoma"/>
            <family val="2"/>
          </rPr>
          <t>Distancia entre centros de agujeros contiguos (dirección perp. del esfuerzo)</t>
        </r>
      </text>
    </comment>
    <comment ref="B100" authorId="0" shapeId="0" xr:uid="{46DD4AE3-848B-4BC0-BDF5-23E7EAED2F89}">
      <text>
        <r>
          <rPr>
            <sz val="9"/>
            <color indexed="81"/>
            <rFont val="Tahoma"/>
            <family val="2"/>
          </rPr>
          <t>Longitud de la unión</t>
        </r>
      </text>
    </comment>
    <comment ref="B101" authorId="0" shapeId="0" xr:uid="{977E7DFD-6F40-4BFE-87D7-EA0B4493D42C}">
      <text>
        <r>
          <rPr>
            <sz val="9"/>
            <color indexed="81"/>
            <rFont val="Tahoma"/>
            <family val="2"/>
          </rPr>
          <t>Número de tirafondos alineados paralelos a la fuerza</t>
        </r>
      </text>
    </comment>
    <comment ref="B102" authorId="0" shapeId="0" xr:uid="{689361B0-7573-49E0-953C-D9C822DEFFA6}">
      <text>
        <r>
          <rPr>
            <sz val="9"/>
            <color indexed="81"/>
            <rFont val="Tahoma"/>
            <family val="2"/>
          </rPr>
          <t>Número de filas de elementos</t>
        </r>
      </text>
    </comment>
    <comment ref="B106" authorId="0" shapeId="0" xr:uid="{B01E5174-77D3-4F40-B77B-8C8B26DCCDBF}">
      <text>
        <r>
          <rPr>
            <sz val="9"/>
            <color indexed="81"/>
            <rFont val="Tahoma"/>
            <family val="2"/>
          </rPr>
          <t>Tensión de rotura del acero de la chapa</t>
        </r>
      </text>
    </comment>
    <comment ref="B107" authorId="0" shapeId="0" xr:uid="{2D8A29CA-61D4-49C1-A7F4-F32C0DA4E662}">
      <text>
        <r>
          <rPr>
            <sz val="9"/>
            <color indexed="81"/>
            <rFont val="Tahoma"/>
            <family val="2"/>
          </rPr>
          <t>Distancia entre centro de un agujero hasta el borde contiguo (dirección paralela al esfuerzo)</t>
        </r>
      </text>
    </comment>
    <comment ref="B108" authorId="0" shapeId="0" xr:uid="{7C51179D-CF08-480A-A89D-2ABE665857FC}">
      <text>
        <r>
          <rPr>
            <sz val="9"/>
            <color indexed="81"/>
            <rFont val="Tahoma"/>
            <family val="2"/>
          </rPr>
          <t>Distancia entre centro de un agujero hasta el borde contiguo (dirección perp. al esfuerzo)</t>
        </r>
      </text>
    </comment>
    <comment ref="I112" authorId="0" shapeId="0" xr:uid="{7ABAED9D-8617-4479-92DC-843F98AB3B83}">
      <text>
        <r>
          <rPr>
            <b/>
            <sz val="9"/>
            <color indexed="81"/>
            <rFont val="Tahoma"/>
            <family val="2"/>
          </rPr>
          <t xml:space="preserve">DEFINICIONES
</t>
        </r>
        <r>
          <rPr>
            <sz val="9"/>
            <color indexed="81"/>
            <rFont val="Tahoma"/>
            <family val="2"/>
          </rPr>
          <t>Placa delgada (t&lt;0,5d)
Placa gruesa (t≥d)</t>
        </r>
        <r>
          <rPr>
            <sz val="9"/>
            <color indexed="81"/>
            <rFont val="Tahoma"/>
            <family val="2"/>
          </rPr>
          <t xml:space="preserve">
</t>
        </r>
      </text>
    </comment>
    <comment ref="A125" authorId="0" shapeId="0" xr:uid="{7E23240D-9441-41EE-8EDB-FF4BAA5B8F6A}">
      <text>
        <r>
          <rPr>
            <sz val="9"/>
            <color indexed="81"/>
            <rFont val="Tahoma"/>
            <family val="2"/>
          </rPr>
          <t>Consultar boceto adjunto para determinar espesores.</t>
        </r>
      </text>
    </comment>
    <comment ref="C128" authorId="0" shapeId="0" xr:uid="{C17EFDED-C7CE-48D9-86A1-9DF485358F7A}">
      <text>
        <r>
          <rPr>
            <b/>
            <sz val="9"/>
            <color indexed="81"/>
            <rFont val="Tahoma"/>
            <family val="2"/>
          </rPr>
          <t>DIÁMETROS MÁS COMUNES:</t>
        </r>
        <r>
          <rPr>
            <sz val="9"/>
            <color indexed="81"/>
            <rFont val="Tahoma"/>
            <family val="2"/>
          </rPr>
          <t xml:space="preserve">
6 mm (mm)
8 mm
10 mm
12 mm
16 mm
20 mm
24 mm
30 mm (max)</t>
        </r>
      </text>
    </comment>
    <comment ref="C129" authorId="0" shapeId="0" xr:uid="{BBB605D9-F1A7-4B59-BF6E-AE406281D1BD}">
      <text>
        <r>
          <rPr>
            <b/>
            <sz val="9"/>
            <color indexed="81"/>
            <rFont val="Tahoma"/>
            <family val="2"/>
          </rPr>
          <t xml:space="preserve">CALIDAD COMÚN
</t>
        </r>
        <r>
          <rPr>
            <sz val="9"/>
            <color indexed="81"/>
            <rFont val="Tahoma"/>
            <family val="2"/>
          </rPr>
          <t>360 N/mm2
410 N/mm2
470 N/mm2</t>
        </r>
      </text>
    </comment>
    <comment ref="B130" authorId="0" shapeId="0" xr:uid="{8C2C80E2-5B52-494C-9D5E-99AE709BCB0E}">
      <text>
        <r>
          <rPr>
            <sz val="9"/>
            <color indexed="81"/>
            <rFont val="Tahoma"/>
            <family val="2"/>
          </rPr>
          <t>Distancia entre centros de agujeros contiguos (dirección paralela del esfuerzo)</t>
        </r>
      </text>
    </comment>
    <comment ref="B131" authorId="0" shapeId="0" xr:uid="{DD65C207-ED6C-433F-A08E-B4A7F177F692}">
      <text>
        <r>
          <rPr>
            <sz val="9"/>
            <color indexed="81"/>
            <rFont val="Tahoma"/>
            <family val="2"/>
          </rPr>
          <t>Distancia entre centros de agujeros contiguos (dirección perp. del esfuerzo)</t>
        </r>
      </text>
    </comment>
    <comment ref="B132" authorId="0" shapeId="0" xr:uid="{3893A6FE-1D7D-442A-97CA-39F1F90B6E3E}">
      <text>
        <r>
          <rPr>
            <sz val="9"/>
            <color indexed="81"/>
            <rFont val="Tahoma"/>
            <family val="2"/>
          </rPr>
          <t>Longitud de la unión</t>
        </r>
      </text>
    </comment>
    <comment ref="B133" authorId="0" shapeId="0" xr:uid="{24CE7B31-99B8-418B-AA0A-0762C2AE2BDA}">
      <text>
        <r>
          <rPr>
            <sz val="9"/>
            <color indexed="81"/>
            <rFont val="Tahoma"/>
            <family val="2"/>
          </rPr>
          <t>Número de pasadores alineados paralelos a la fuerza</t>
        </r>
      </text>
    </comment>
    <comment ref="B134" authorId="0" shapeId="0" xr:uid="{53778269-26DA-4E7F-B573-FE27490DC67C}">
      <text>
        <r>
          <rPr>
            <sz val="9"/>
            <color indexed="81"/>
            <rFont val="Tahoma"/>
            <family val="2"/>
          </rPr>
          <t>Número de filas de elementos</t>
        </r>
      </text>
    </comment>
    <comment ref="B138" authorId="0" shapeId="0" xr:uid="{A660F34D-00A9-45D9-889B-731FD4C47EE4}">
      <text>
        <r>
          <rPr>
            <sz val="9"/>
            <color indexed="81"/>
            <rFont val="Tahoma"/>
            <family val="2"/>
          </rPr>
          <t>Tensión de rotura del acero de la chapa</t>
        </r>
      </text>
    </comment>
    <comment ref="B139" authorId="0" shapeId="0" xr:uid="{6DDAFC09-1513-4840-8218-C4A28730E8E0}">
      <text>
        <r>
          <rPr>
            <sz val="9"/>
            <color indexed="81"/>
            <rFont val="Tahoma"/>
            <family val="2"/>
          </rPr>
          <t>Distancia entre centro de un agujero hasta el borde contiguo (dirección paralela al esfuerzo)</t>
        </r>
      </text>
    </comment>
    <comment ref="B140" authorId="0" shapeId="0" xr:uid="{B2149C78-C520-40DF-9893-5904FA02D9E0}">
      <text>
        <r>
          <rPr>
            <sz val="9"/>
            <color indexed="81"/>
            <rFont val="Tahoma"/>
            <family val="2"/>
          </rPr>
          <t>Distancia entre centro de un agujero hasta el borde contiguo (dirección perp. al esfuerzo)</t>
        </r>
      </text>
    </comment>
    <comment ref="I144" authorId="0" shapeId="0" xr:uid="{4AAE88A6-C5D8-41AF-B643-843E378453C5}">
      <text>
        <r>
          <rPr>
            <b/>
            <sz val="9"/>
            <color indexed="81"/>
            <rFont val="Tahoma"/>
            <family val="2"/>
          </rPr>
          <t xml:space="preserve">DEFINICIONES
</t>
        </r>
        <r>
          <rPr>
            <sz val="9"/>
            <color indexed="81"/>
            <rFont val="Tahoma"/>
            <family val="2"/>
          </rPr>
          <t>Placa delgada (t&lt;0,5d)
Placa gruesa (t≥d)</t>
        </r>
        <r>
          <rPr>
            <sz val="9"/>
            <color indexed="81"/>
            <rFont val="Tahoma"/>
            <family val="2"/>
          </rPr>
          <t xml:space="preserve">
</t>
        </r>
      </text>
    </comment>
  </commentList>
</comments>
</file>

<file path=xl/sharedStrings.xml><?xml version="1.0" encoding="utf-8"?>
<sst xmlns="http://schemas.openxmlformats.org/spreadsheetml/2006/main" count="1727" uniqueCount="498">
  <si>
    <r>
      <t xml:space="preserve"> Coeficientes parciales de seguridad para el material, </t>
    </r>
    <r>
      <rPr>
        <sz val="11"/>
        <color theme="1"/>
        <rFont val="Calibri"/>
        <family val="2"/>
      </rPr>
      <t>Φ</t>
    </r>
    <r>
      <rPr>
        <sz val="11"/>
        <color theme="1"/>
        <rFont val="Calibri"/>
        <family val="2"/>
        <scheme val="minor"/>
      </rPr>
      <t>M</t>
    </r>
  </si>
  <si>
    <t>Situaciones persistentes y transitorias:</t>
  </si>
  <si>
    <t>Madera laminada encolada</t>
  </si>
  <si>
    <t>Madera aserrada</t>
  </si>
  <si>
    <t>Valores de factor, kmod</t>
  </si>
  <si>
    <t>Material</t>
  </si>
  <si>
    <t xml:space="preserve">Norma </t>
  </si>
  <si>
    <t>Clase de servicio</t>
  </si>
  <si>
    <t>Clase de duración de la carga</t>
  </si>
  <si>
    <t>Permanente</t>
  </si>
  <si>
    <t>Larga</t>
  </si>
  <si>
    <t xml:space="preserve">Media </t>
  </si>
  <si>
    <t xml:space="preserve">Corta </t>
  </si>
  <si>
    <t>Instantánea</t>
  </si>
  <si>
    <t xml:space="preserve">Madera maciza </t>
  </si>
  <si>
    <t>UNE-EN 14081-1:2016</t>
  </si>
  <si>
    <t>UNE-EN 14080:2013</t>
  </si>
  <si>
    <t xml:space="preserve">Tabla E.1 Madera aserrada. Especies de coníferas y chopo. Valores de las propiedades asociadas a cada Clase Resistente </t>
  </si>
  <si>
    <t xml:space="preserve">Propiedades </t>
  </si>
  <si>
    <t>Clase resistente</t>
  </si>
  <si>
    <t>C14</t>
  </si>
  <si>
    <t>C16</t>
  </si>
  <si>
    <t>C18</t>
  </si>
  <si>
    <t>C20</t>
  </si>
  <si>
    <t>C22</t>
  </si>
  <si>
    <t>C24</t>
  </si>
  <si>
    <t>C27</t>
  </si>
  <si>
    <t>C30</t>
  </si>
  <si>
    <t>C35</t>
  </si>
  <si>
    <t>C40</t>
  </si>
  <si>
    <t>C42</t>
  </si>
  <si>
    <t>C50</t>
  </si>
  <si>
    <t>Flexión</t>
  </si>
  <si>
    <t xml:space="preserve">Tracción paralela </t>
  </si>
  <si>
    <t xml:space="preserve">Tracción perpendicular. </t>
  </si>
  <si>
    <t xml:space="preserve">Compresión paralela </t>
  </si>
  <si>
    <t xml:space="preserve">Compresión perpendicular </t>
  </si>
  <si>
    <t xml:space="preserve">Cortante </t>
  </si>
  <si>
    <t>Resistencia (característica) en N/mm2</t>
  </si>
  <si>
    <t xml:space="preserve">fm,k </t>
  </si>
  <si>
    <t xml:space="preserve">ft,0,k </t>
  </si>
  <si>
    <t>ft,90,k</t>
  </si>
  <si>
    <t xml:space="preserve">fc,0,k </t>
  </si>
  <si>
    <t xml:space="preserve">fv,k </t>
  </si>
  <si>
    <t xml:space="preserve">fc,90,k </t>
  </si>
  <si>
    <t>Rigidez, en kN/mm²</t>
  </si>
  <si>
    <t xml:space="preserve">Módulo de elasticidad 
paralelo medio </t>
  </si>
  <si>
    <t>Módulo de elasticidad 
paralelo 50-percentíl</t>
  </si>
  <si>
    <t xml:space="preserve"> Módulo de elasticidad 
perpendicular medio</t>
  </si>
  <si>
    <t xml:space="preserve">Módulo transversal medio </t>
  </si>
  <si>
    <t>E0,medio</t>
  </si>
  <si>
    <t>E0,k</t>
  </si>
  <si>
    <t>E90,medio</t>
  </si>
  <si>
    <t xml:space="preserve">Gmedio </t>
  </si>
  <si>
    <t>Densidad, en kg/m3</t>
  </si>
  <si>
    <t>Densidad característica</t>
  </si>
  <si>
    <t>Densidad media</t>
  </si>
  <si>
    <t>ρmedio</t>
  </si>
  <si>
    <t>ρk</t>
  </si>
  <si>
    <t xml:space="preserve">Tabla E.2 Madera aserrada. Especies frondosas. Valores de las propiedades asociadas a cada Clase resistente </t>
  </si>
  <si>
    <t>D18</t>
  </si>
  <si>
    <t>D24</t>
  </si>
  <si>
    <t>D30</t>
  </si>
  <si>
    <t>D35</t>
  </si>
  <si>
    <t>D40</t>
  </si>
  <si>
    <t>D50</t>
  </si>
  <si>
    <t>D60</t>
  </si>
  <si>
    <t>D70</t>
  </si>
  <si>
    <t>GL24h</t>
  </si>
  <si>
    <t>GL28h</t>
  </si>
  <si>
    <t>GL32h</t>
  </si>
  <si>
    <t>GL36h</t>
  </si>
  <si>
    <t xml:space="preserve">Tabla E.3 Madera laminada encolada homogénea. Valores de las propiedades asociadas a cada Clase Resistente </t>
  </si>
  <si>
    <t xml:space="preserve">fm,g,,k </t>
  </si>
  <si>
    <t xml:space="preserve">Gg,,medio </t>
  </si>
  <si>
    <t xml:space="preserve">E90,g,medio </t>
  </si>
  <si>
    <t xml:space="preserve">E0,g,k </t>
  </si>
  <si>
    <t xml:space="preserve">E0,g,medio </t>
  </si>
  <si>
    <t xml:space="preserve">fv,g,k </t>
  </si>
  <si>
    <t xml:space="preserve">fc,90,g,k </t>
  </si>
  <si>
    <t xml:space="preserve">fc,0,g,k </t>
  </si>
  <si>
    <t xml:space="preserve">ft,90,g,k </t>
  </si>
  <si>
    <t>ft,0,g,k</t>
  </si>
  <si>
    <t xml:space="preserve">Tabla E.4 Madera laminada encolada combinada. Valores de las propiedades asociadas a cada Clase Resistente </t>
  </si>
  <si>
    <t>GL24c</t>
  </si>
  <si>
    <t>GL28c</t>
  </si>
  <si>
    <t>GL32c</t>
  </si>
  <si>
    <t>GL36c</t>
  </si>
  <si>
    <t>Módulo de elasticidad paralelo 50-percentíl</t>
  </si>
  <si>
    <t>Módulo de elasticidad perpendicular medio</t>
  </si>
  <si>
    <t xml:space="preserve">Módulo de elasticidad paralelo medio </t>
  </si>
  <si>
    <t>IDENTIFICACIÓN MADERA</t>
  </si>
  <si>
    <t>IDENTIFICACIÓN COEFICIENTES</t>
  </si>
  <si>
    <t>A,1,P</t>
  </si>
  <si>
    <t>C. PARCIALES SEGURIDAD</t>
  </si>
  <si>
    <t>V. FACTOR kmod</t>
  </si>
  <si>
    <t>A,1,L</t>
  </si>
  <si>
    <t>A,1,M</t>
  </si>
  <si>
    <t>A,1,C</t>
  </si>
  <si>
    <t>A,1,I</t>
  </si>
  <si>
    <t>A,2,P</t>
  </si>
  <si>
    <t>A,2,L</t>
  </si>
  <si>
    <t>A,2,M</t>
  </si>
  <si>
    <t>A,2,C</t>
  </si>
  <si>
    <t>A,2,I</t>
  </si>
  <si>
    <t>A,3,P</t>
  </si>
  <si>
    <t>A,3,L</t>
  </si>
  <si>
    <t>A,3,M</t>
  </si>
  <si>
    <t>A,3,C</t>
  </si>
  <si>
    <t>A,3,I</t>
  </si>
  <si>
    <t>LE,1,P</t>
  </si>
  <si>
    <t>LE,1,L</t>
  </si>
  <si>
    <t>LE,1,M</t>
  </si>
  <si>
    <t>LE,1,C</t>
  </si>
  <si>
    <t>LE,1,I</t>
  </si>
  <si>
    <t>LE,2,P</t>
  </si>
  <si>
    <t>LE,2,L</t>
  </si>
  <si>
    <t>LE,2,M</t>
  </si>
  <si>
    <t>LE,2,C</t>
  </si>
  <si>
    <t>LE,2,I</t>
  </si>
  <si>
    <t>LE,3,P</t>
  </si>
  <si>
    <t>LE,3,L</t>
  </si>
  <si>
    <t>LE,3,M</t>
  </si>
  <si>
    <t>LE,3,C</t>
  </si>
  <si>
    <t>LE,3,I</t>
  </si>
  <si>
    <t>C. PARCIALES SEGURIDAD ΦM</t>
  </si>
  <si>
    <t>VALORES DE CÁLCULO</t>
  </si>
  <si>
    <t>Coeficiente de minoración kcr</t>
  </si>
  <si>
    <t>M. maciza + Laminada encolada</t>
  </si>
  <si>
    <t>Factor heterogeneidad y redistribución de tensiones km</t>
  </si>
  <si>
    <t>Factor km</t>
  </si>
  <si>
    <t>C. MINORACIÓN kcr</t>
  </si>
  <si>
    <t>FACTOR km</t>
  </si>
  <si>
    <t>C14, CLASE 1</t>
  </si>
  <si>
    <t>V. FACTOR kmod PERMANENTE</t>
  </si>
  <si>
    <t>V. FACTOR kmod LARGA</t>
  </si>
  <si>
    <t>V. FACTOR kmod MEDIA</t>
  </si>
  <si>
    <t>V. FACTOR kmod CORTA</t>
  </si>
  <si>
    <t>V. FACTOR kmod INSTANTÁNEA</t>
  </si>
  <si>
    <t>C14, CLASE 2</t>
  </si>
  <si>
    <t>C14, CLASE 3</t>
  </si>
  <si>
    <t>C16, CLASE 1</t>
  </si>
  <si>
    <t>C16, CLASE 2</t>
  </si>
  <si>
    <t>C16, CLASE 3</t>
  </si>
  <si>
    <t>C18, CLASE 1</t>
  </si>
  <si>
    <t>C18, CLASE 2</t>
  </si>
  <si>
    <t>C18, CLASE 3</t>
  </si>
  <si>
    <t>C20, CLASE 1</t>
  </si>
  <si>
    <t>C20, CLASE 2</t>
  </si>
  <si>
    <t>C20, CLASE 3</t>
  </si>
  <si>
    <t>C22, CLASE 1</t>
  </si>
  <si>
    <t>C22, CLASE 2</t>
  </si>
  <si>
    <t>C22, CLASE 3</t>
  </si>
  <si>
    <t>C24, CLASE 1</t>
  </si>
  <si>
    <t>C24, CLASE 2</t>
  </si>
  <si>
    <t>C24, CLASE 3</t>
  </si>
  <si>
    <t>C27, CLASE 1</t>
  </si>
  <si>
    <t>C27, CLASE 2</t>
  </si>
  <si>
    <t>C27, CLASE 3</t>
  </si>
  <si>
    <t>C30, CLASE 1</t>
  </si>
  <si>
    <t>C30, CLASE 2</t>
  </si>
  <si>
    <t>C30, CLASE 3</t>
  </si>
  <si>
    <t>C35, CLASE 1</t>
  </si>
  <si>
    <t>C35, CLASE 2</t>
  </si>
  <si>
    <t>C35, CLASE 3</t>
  </si>
  <si>
    <t xml:space="preserve">C40, CLASE 1 </t>
  </si>
  <si>
    <t>C40, CLASE 2</t>
  </si>
  <si>
    <t>C40, CLASE 3</t>
  </si>
  <si>
    <t>C45, CLASE 1</t>
  </si>
  <si>
    <t>C45, CLASE 2</t>
  </si>
  <si>
    <t>C45, CLASE 3</t>
  </si>
  <si>
    <t>C50, CLASE 1</t>
  </si>
  <si>
    <t>C50, CLASE 2</t>
  </si>
  <si>
    <t>C50, CLASE 3</t>
  </si>
  <si>
    <t>D18, CLASE 1</t>
  </si>
  <si>
    <t>D18, CLASE 2</t>
  </si>
  <si>
    <t>D18, CLASE 3</t>
  </si>
  <si>
    <t>D24, CLASE 1</t>
  </si>
  <si>
    <t>D24, CLASE 2</t>
  </si>
  <si>
    <t>D24, CLASE 3</t>
  </si>
  <si>
    <t>D30, CLASE 1</t>
  </si>
  <si>
    <t>D30, CLASE 2</t>
  </si>
  <si>
    <t>D30, CLASE 3</t>
  </si>
  <si>
    <t>D35, CLASE 1</t>
  </si>
  <si>
    <t>D35, CLASE 2</t>
  </si>
  <si>
    <t>D35, CLASE 3</t>
  </si>
  <si>
    <t>D40, CLASE 1</t>
  </si>
  <si>
    <t>D40, CLASE 2</t>
  </si>
  <si>
    <t>D40, CLASE 3</t>
  </si>
  <si>
    <t>D50, CLASE 1</t>
  </si>
  <si>
    <t>D50, CLASE 2</t>
  </si>
  <si>
    <t>D50, CLASE 3</t>
  </si>
  <si>
    <t>D60, CLASE 1</t>
  </si>
  <si>
    <t>D60, CLASE 2</t>
  </si>
  <si>
    <t>D60, CLASE 3</t>
  </si>
  <si>
    <t>D70, CLASE 1</t>
  </si>
  <si>
    <t>D70, CLASE 2</t>
  </si>
  <si>
    <t>D70, CLASE 3</t>
  </si>
  <si>
    <t>GLh24, CLASE 1</t>
  </si>
  <si>
    <t>GLh24, CLASE 2</t>
  </si>
  <si>
    <t>GLh24, CLASE 3</t>
  </si>
  <si>
    <t>GLh28, CLASE 1</t>
  </si>
  <si>
    <t>GLh28, CLASE 2</t>
  </si>
  <si>
    <t>GLh28, CLASE 3</t>
  </si>
  <si>
    <t>GLh32, CLASE 1</t>
  </si>
  <si>
    <t>GLh32, CLASE 2</t>
  </si>
  <si>
    <t>GLh32, CLASE 3</t>
  </si>
  <si>
    <t>GLh36, CLASE 1</t>
  </si>
  <si>
    <t>GLh36, CLASE 2</t>
  </si>
  <si>
    <t>GLh36, CLASE 3</t>
  </si>
  <si>
    <t>GLc24, CLASE 1</t>
  </si>
  <si>
    <t>GLc24, CLASE 2</t>
  </si>
  <si>
    <t>GLc24, CLASE 3</t>
  </si>
  <si>
    <t>GLc28, CLASE 1</t>
  </si>
  <si>
    <t>GLc28, CLASE 2</t>
  </si>
  <si>
    <t>GLc28, CLASE 3</t>
  </si>
  <si>
    <t>GLc32, CLASE 1</t>
  </si>
  <si>
    <t>GLc32, CLASE 2</t>
  </si>
  <si>
    <t>GLc32, CLASE 3</t>
  </si>
  <si>
    <t>GLc36, CLASE 1</t>
  </si>
  <si>
    <t>GLc36, CLASE 2</t>
  </si>
  <si>
    <t>GLc36, CLASE 3</t>
  </si>
  <si>
    <t>VALORES kmod</t>
  </si>
  <si>
    <t>PERMANENTE</t>
  </si>
  <si>
    <t>LARGA</t>
  </si>
  <si>
    <t>MEDIA</t>
  </si>
  <si>
    <t>CORTA</t>
  </si>
  <si>
    <t>INSTANTÁNEA</t>
  </si>
  <si>
    <t>CARGAS PARA COMBINACIONES</t>
  </si>
  <si>
    <t>Nieve</t>
  </si>
  <si>
    <t>COMBINACIONES ELU</t>
  </si>
  <si>
    <t>My</t>
  </si>
  <si>
    <t>Mz</t>
  </si>
  <si>
    <t>DIMENSIONES PIEZA</t>
  </si>
  <si>
    <t>Ancho</t>
  </si>
  <si>
    <t>Canto</t>
  </si>
  <si>
    <r>
      <t>σ</t>
    </r>
    <r>
      <rPr>
        <vertAlign val="subscript"/>
        <sz val="11"/>
        <color theme="1"/>
        <rFont val="Arial"/>
        <family val="2"/>
      </rPr>
      <t>m,y,d</t>
    </r>
  </si>
  <si>
    <r>
      <t>σ</t>
    </r>
    <r>
      <rPr>
        <vertAlign val="subscript"/>
        <sz val="11"/>
        <color theme="1"/>
        <rFont val="Arial"/>
        <family val="2"/>
      </rPr>
      <t>m,d</t>
    </r>
  </si>
  <si>
    <r>
      <t>σ</t>
    </r>
    <r>
      <rPr>
        <vertAlign val="subscript"/>
        <sz val="11"/>
        <color theme="1"/>
        <rFont val="Arial"/>
        <family val="2"/>
      </rPr>
      <t>c,0,d</t>
    </r>
  </si>
  <si>
    <r>
      <t>σ</t>
    </r>
    <r>
      <rPr>
        <vertAlign val="subscript"/>
        <sz val="11"/>
        <color theme="1"/>
        <rFont val="Arial"/>
        <family val="2"/>
      </rPr>
      <t>m,z,d</t>
    </r>
  </si>
  <si>
    <r>
      <t>k</t>
    </r>
    <r>
      <rPr>
        <vertAlign val="subscript"/>
        <sz val="11"/>
        <color theme="1"/>
        <rFont val="Arial"/>
        <family val="2"/>
      </rPr>
      <t>m</t>
    </r>
  </si>
  <si>
    <t>Resistencia (característica) en N/mm²</t>
  </si>
  <si>
    <r>
      <t>b</t>
    </r>
    <r>
      <rPr>
        <vertAlign val="subscript"/>
        <sz val="11"/>
        <color theme="1"/>
        <rFont val="Arial"/>
        <family val="2"/>
      </rPr>
      <t>ef</t>
    </r>
  </si>
  <si>
    <r>
      <t>τ</t>
    </r>
    <r>
      <rPr>
        <vertAlign val="subscript"/>
        <sz val="11"/>
        <color theme="1"/>
        <rFont val="Arial"/>
        <family val="2"/>
      </rPr>
      <t>d,max</t>
    </r>
  </si>
  <si>
    <t>Cortadura simple</t>
  </si>
  <si>
    <t>1.</t>
  </si>
  <si>
    <t>2.</t>
  </si>
  <si>
    <t>3.</t>
  </si>
  <si>
    <t>4.</t>
  </si>
  <si>
    <t>5.</t>
  </si>
  <si>
    <t>6.</t>
  </si>
  <si>
    <t>Cortadura doble</t>
  </si>
  <si>
    <t>UNIONES ACERO-MADERA</t>
  </si>
  <si>
    <t>1a</t>
  </si>
  <si>
    <t>1b</t>
  </si>
  <si>
    <t>2a</t>
  </si>
  <si>
    <t>2b</t>
  </si>
  <si>
    <t>2c</t>
  </si>
  <si>
    <t>β</t>
  </si>
  <si>
    <t>N</t>
  </si>
  <si>
    <t>CLAVOS MADERA-MADERA</t>
  </si>
  <si>
    <t>fh,1,k</t>
  </si>
  <si>
    <t>fh,2,k</t>
  </si>
  <si>
    <t>My,Rk</t>
  </si>
  <si>
    <t>fu</t>
  </si>
  <si>
    <t>t1</t>
  </si>
  <si>
    <t>t2</t>
  </si>
  <si>
    <t>d</t>
  </si>
  <si>
    <t>UNIONES MADERA-MADERA</t>
  </si>
  <si>
    <t>UNIONES TABLERO-MADERA</t>
  </si>
  <si>
    <t>CLAVOS TABLERO-MADERA</t>
  </si>
  <si>
    <t>CLAVOS ACERO-MADERA</t>
  </si>
  <si>
    <t>pk</t>
  </si>
  <si>
    <t>ESPESORES</t>
  </si>
  <si>
    <t>CARACT. DE LOS CLAVOS</t>
  </si>
  <si>
    <t>TABLERO CONTRACHAPADO</t>
  </si>
  <si>
    <t>CON TALADRO PREVIO</t>
  </si>
  <si>
    <t>SIN TALADRO PREVIO</t>
  </si>
  <si>
    <t>TABLERO DE FIBRAS DURO</t>
  </si>
  <si>
    <t>OSB</t>
  </si>
  <si>
    <t>CAPACIDAD CARGA LATERAL</t>
  </si>
  <si>
    <t>CAPACIDAD CARGA AXIAL</t>
  </si>
  <si>
    <t>Fax,Rk Clavos fuste liso</t>
  </si>
  <si>
    <t>fax,k</t>
  </si>
  <si>
    <t>fhead,k</t>
  </si>
  <si>
    <t>tpen</t>
  </si>
  <si>
    <t>Tipo Cortadura</t>
  </si>
  <si>
    <t>Modo Taladro</t>
  </si>
  <si>
    <t>Tipo Tablero</t>
  </si>
  <si>
    <t>Capacidad Carga Lateral</t>
  </si>
  <si>
    <t>Capacidad Carga Axial</t>
  </si>
  <si>
    <t>UNIONES TIPO CLAVOS</t>
  </si>
  <si>
    <t>UNIONES GRAPAS</t>
  </si>
  <si>
    <t>UNIONES</t>
  </si>
  <si>
    <t>GRAPAS MADERA-MADERA</t>
  </si>
  <si>
    <t>COMPROBACIÓN GRAPAS</t>
  </si>
  <si>
    <t>CARACT. DE LAS GRAPAS</t>
  </si>
  <si>
    <t>COMPROBACIÓN PERNOS</t>
  </si>
  <si>
    <t>UNIONES PERNOS</t>
  </si>
  <si>
    <t>1c</t>
  </si>
  <si>
    <t>3a</t>
  </si>
  <si>
    <t>3b</t>
  </si>
  <si>
    <t>CARACT. DE LOS PERNOS</t>
  </si>
  <si>
    <t>PERNOS MADERA-MADERA</t>
  </si>
  <si>
    <t>PERNOS TABLERO-MADERA</t>
  </si>
  <si>
    <t>fh,0,k</t>
  </si>
  <si>
    <t>PERNOS ACERO-MADERA</t>
  </si>
  <si>
    <t>Fax,Rk</t>
  </si>
  <si>
    <t>UNIONES TIRAFONDOS</t>
  </si>
  <si>
    <t>TIRAFONDOS MADERA-MADERA</t>
  </si>
  <si>
    <t>TIRAFONDOS TABLERO-MADERA</t>
  </si>
  <si>
    <t>TIRAFONDOS ACERO-MADERA</t>
  </si>
  <si>
    <t>Cortadura simple | Placa delgada</t>
  </si>
  <si>
    <t>Cortadura simple | Placa gruesa</t>
  </si>
  <si>
    <t>Cortadura doble | P. central acero</t>
  </si>
  <si>
    <t>Cortadura doble | P. central madera | Placa delgada</t>
  </si>
  <si>
    <t>Cortadura doble | P. central madera | Placa gruesa</t>
  </si>
  <si>
    <t>Sin taladro previo</t>
  </si>
  <si>
    <t>Tablero contrachapado</t>
  </si>
  <si>
    <t>Tablero de fibras duro</t>
  </si>
  <si>
    <t>COMPROBACIÓN TIRAFONDOS</t>
  </si>
  <si>
    <t>UNIONES PASADORES</t>
  </si>
  <si>
    <t>PASADORES MADERA-MADERA</t>
  </si>
  <si>
    <t>PASADORES TABLERO-MADERA</t>
  </si>
  <si>
    <t>PASADORES ACERO-MADERA</t>
  </si>
  <si>
    <t>CARACT. DE LOS PASADORES</t>
  </si>
  <si>
    <t>CARACT. DE LOS TIRAFONDOS</t>
  </si>
  <si>
    <t>COMPROBACIÓN PASADORES</t>
  </si>
  <si>
    <t>FACTOR kh</t>
  </si>
  <si>
    <t>Factor kh</t>
  </si>
  <si>
    <t>Sobrecarga Uso</t>
  </si>
  <si>
    <t>Q</t>
  </si>
  <si>
    <t>U</t>
  </si>
  <si>
    <t>V</t>
  </si>
  <si>
    <t>C1</t>
  </si>
  <si>
    <t>C2</t>
  </si>
  <si>
    <t>C3</t>
  </si>
  <si>
    <t>C4</t>
  </si>
  <si>
    <t>C5</t>
  </si>
  <si>
    <t>C6</t>
  </si>
  <si>
    <t>C7</t>
  </si>
  <si>
    <t>C8</t>
  </si>
  <si>
    <t>N (compresión)</t>
  </si>
  <si>
    <t>N (tracción)</t>
  </si>
  <si>
    <r>
      <t>σ</t>
    </r>
    <r>
      <rPr>
        <vertAlign val="subscript"/>
        <sz val="11"/>
        <color theme="1"/>
        <rFont val="Arial"/>
        <family val="2"/>
      </rPr>
      <t>t,0,d</t>
    </r>
  </si>
  <si>
    <r>
      <t>σ</t>
    </r>
    <r>
      <rPr>
        <vertAlign val="subscript"/>
        <sz val="11"/>
        <color theme="1"/>
        <rFont val="Arial"/>
        <family val="2"/>
      </rPr>
      <t>t,90,d</t>
    </r>
  </si>
  <si>
    <r>
      <t>k</t>
    </r>
    <r>
      <rPr>
        <vertAlign val="subscript"/>
        <sz val="11"/>
        <color theme="1"/>
        <rFont val="Arial"/>
        <family val="2"/>
      </rPr>
      <t>vol</t>
    </r>
  </si>
  <si>
    <t>Vol (m³)</t>
  </si>
  <si>
    <t>Factor kvol (tracción)</t>
  </si>
  <si>
    <r>
      <t>σ</t>
    </r>
    <r>
      <rPr>
        <vertAlign val="subscript"/>
        <sz val="11"/>
        <color theme="1"/>
        <rFont val="Arial"/>
        <family val="2"/>
      </rPr>
      <t>c,90,d</t>
    </r>
  </si>
  <si>
    <r>
      <t>k</t>
    </r>
    <r>
      <rPr>
        <vertAlign val="subscript"/>
        <sz val="11"/>
        <color theme="1"/>
        <rFont val="Arial"/>
        <family val="2"/>
      </rPr>
      <t>c</t>
    </r>
  </si>
  <si>
    <r>
      <t>A</t>
    </r>
    <r>
      <rPr>
        <vertAlign val="subscript"/>
        <sz val="11"/>
        <color theme="1"/>
        <rFont val="Arial"/>
        <family val="2"/>
      </rPr>
      <t>ef</t>
    </r>
  </si>
  <si>
    <r>
      <t>l</t>
    </r>
    <r>
      <rPr>
        <vertAlign val="subscript"/>
        <sz val="11"/>
        <color theme="1"/>
        <rFont val="Arial"/>
        <family val="2"/>
      </rPr>
      <t>ef</t>
    </r>
  </si>
  <si>
    <r>
      <t>k</t>
    </r>
    <r>
      <rPr>
        <vertAlign val="subscript"/>
        <sz val="11"/>
        <color theme="1"/>
        <rFont val="Arial"/>
        <family val="2"/>
      </rPr>
      <t>vol</t>
    </r>
    <r>
      <rPr>
        <sz val="11"/>
        <color theme="1"/>
        <rFont val="Arial"/>
        <family val="2"/>
      </rPr>
      <t xml:space="preserve"> aplicado</t>
    </r>
  </si>
  <si>
    <t>Con taladro previo</t>
  </si>
  <si>
    <t>r</t>
  </si>
  <si>
    <r>
      <t>M</t>
    </r>
    <r>
      <rPr>
        <vertAlign val="subscript"/>
        <sz val="11"/>
        <color theme="1"/>
        <rFont val="Arial"/>
        <family val="2"/>
      </rPr>
      <t>f</t>
    </r>
  </si>
  <si>
    <t>Esfuerzos Paralelos a la Fibra</t>
  </si>
  <si>
    <t>Esfuerzos Perpendiculares a la Fibra</t>
  </si>
  <si>
    <t>NÚMERO EFICAZ</t>
  </si>
  <si>
    <t>a1</t>
  </si>
  <si>
    <t>nef</t>
  </si>
  <si>
    <t>kef</t>
  </si>
  <si>
    <t>nef (Lateral)</t>
  </si>
  <si>
    <t>nef (Axial)</t>
  </si>
  <si>
    <t>1. Arranque</t>
  </si>
  <si>
    <t>2. Punzonamiento</t>
  </si>
  <si>
    <t>kd</t>
  </si>
  <si>
    <t>n1</t>
  </si>
  <si>
    <t>n2</t>
  </si>
  <si>
    <t>Identificación madera</t>
  </si>
  <si>
    <t>Tipo de carga</t>
  </si>
  <si>
    <t>Fv,Rk</t>
  </si>
  <si>
    <t>Fv,Rd (nef y n2)</t>
  </si>
  <si>
    <t>d arandela</t>
  </si>
  <si>
    <t>Combinación Axil-Lateral</t>
  </si>
  <si>
    <t>COMPROBACIÓN CLAVOS LISOS</t>
  </si>
  <si>
    <t>CAPACIDAD CORTADURA CLAVIJA</t>
  </si>
  <si>
    <t>Blf</t>
  </si>
  <si>
    <t>n</t>
  </si>
  <si>
    <t>α</t>
  </si>
  <si>
    <t>fub</t>
  </si>
  <si>
    <t>C. seguridad</t>
  </si>
  <si>
    <t>Ac</t>
  </si>
  <si>
    <t>L</t>
  </si>
  <si>
    <t>Fv,R</t>
  </si>
  <si>
    <t>Capacidad Cortadura</t>
  </si>
  <si>
    <t>CAPACIDAD CORTADURA PERNO</t>
  </si>
  <si>
    <t>CAPACIDAD CORTADURA GRAPAS</t>
  </si>
  <si>
    <t>CAPACIDAD CORTADURA TIRAFONDOS</t>
  </si>
  <si>
    <t>CAPACIDAD CORTADURA PASADORES</t>
  </si>
  <si>
    <t>Capacidad Aplastamiento</t>
  </si>
  <si>
    <t>CAPACIDAD APLASTAMIENTO PERNO</t>
  </si>
  <si>
    <t>B</t>
  </si>
  <si>
    <t>t</t>
  </si>
  <si>
    <t>Fb,R</t>
  </si>
  <si>
    <t>CHAPA ACERO</t>
  </si>
  <si>
    <t>e1</t>
  </si>
  <si>
    <t>p1</t>
  </si>
  <si>
    <t>e2</t>
  </si>
  <si>
    <t>p2</t>
  </si>
  <si>
    <t>da</t>
  </si>
  <si>
    <t>CAPACIDAD APLASTAMIENTO TIRAFONDOS</t>
  </si>
  <si>
    <t>CAPACIDAD APLASTAMIENTO PASADOR</t>
  </si>
  <si>
    <r>
      <rPr>
        <sz val="11"/>
        <color theme="1"/>
        <rFont val="Calibri"/>
        <family val="2"/>
      </rPr>
      <t>α</t>
    </r>
    <r>
      <rPr>
        <sz val="9.35"/>
        <color theme="1"/>
        <rFont val="Calibri"/>
        <family val="2"/>
      </rPr>
      <t>1</t>
    </r>
  </si>
  <si>
    <r>
      <rPr>
        <sz val="11"/>
        <color theme="1"/>
        <rFont val="Calibri"/>
        <family val="2"/>
      </rPr>
      <t>α</t>
    </r>
    <r>
      <rPr>
        <sz val="9.35"/>
        <color theme="1"/>
        <rFont val="Calibri"/>
        <family val="2"/>
      </rPr>
      <t>2</t>
    </r>
    <r>
      <rPr>
        <sz val="11"/>
        <color theme="1"/>
        <rFont val="Calibri"/>
        <family val="2"/>
        <scheme val="minor"/>
      </rPr>
      <t/>
    </r>
  </si>
  <si>
    <t>Títulos</t>
  </si>
  <si>
    <t>Sub títulos</t>
  </si>
  <si>
    <t>Valores de cálculo
El objetivo de esta página es establecer las bases con las que se va a realizar las siguientes comprobaciones. Por ello, se deberá definir los siguientes apartados:
-   Identificación de la madera y clase de servicio
-   Dimensiones de la pieza considerada (sección rectangular)
-   Esfuerzos que afectan a la sección dependiendo de su peso propio, sobrecarga de uso, nieve y viento.</t>
  </si>
  <si>
    <t>Comprobación uniones
En este apartado, los usuarios podrán diseñar y comprobar las uniones de las secciones. La página está compartimentada en las siguientes uniones: clavos lisos, grapas, pernos, tirafondos y pasadores. Se puede comprobar que muchas casillas están comentadas para ofrecer información sobre las dimensiones, calidades y caracteristicas más comunes de las uniones. Cada unión tiene unas celdas a modificar individualmente, pero es necesario tener en cuenta las celdas superiores para determinar ciertos parámetros:
-   El esfuerzo de carga lateral (Fax,Ed) de la unión.
-   El esfuerzo de carga axial (Fax,Ed) de la unión.
-   La duración de la carga asociada a los esfuerzos anteriormente descritos.</t>
  </si>
  <si>
    <t>Esfuerzo carga lateral (Fv,Ed)</t>
  </si>
  <si>
    <t>Esfuerzo carga axial (Fax,Ed)</t>
  </si>
  <si>
    <r>
      <rPr>
        <sz val="11"/>
        <color theme="1"/>
        <rFont val="Calibri"/>
        <family val="2"/>
        <scheme val="minor"/>
      </rPr>
      <t xml:space="preserve">Héctor García Carda
ETSA - UPV
Grado en Fundamentos de la Arquitectura
2021-2022
</t>
    </r>
    <r>
      <rPr>
        <sz val="12"/>
        <color theme="1"/>
        <rFont val="Calibri"/>
        <family val="2"/>
        <scheme val="minor"/>
      </rPr>
      <t xml:space="preserve">
</t>
    </r>
  </si>
  <si>
    <t>Comprobación secciones
Esta página realiza la comprobación de la sección definida en la página anterior frente a las tensiones normales a la fibra, las tensiones tangenciales y las tensiones perpendiculares a la fibra. Se puede observar las diferentes resistencias aportadas dependiendo de la clase de duración de la carga, la tensión de cálculo comparada y el índice de agotamiento de las comprobaciones. En esta página, los únicos valores que deben modificarse son:
-   El momento flector considerado a la hora de comprobar la tracción perpendicular a la fibra.
-   El radio medio de la pieza.
-   El coeficiente kc.
-   La longitud eficaz considerada en la comprobación a compresión perpendicular.</t>
  </si>
  <si>
    <t>Celdas a rellenar por el usuario</t>
  </si>
  <si>
    <t xml:space="preserve">Información Básica para el usuario:
</t>
  </si>
  <si>
    <t>Tipos de madera aserrada:
-   Coníferas y chopo: C14, C16, C18, C20, C22, C24, C27, C30, C35, C 40, C45 y C50.
-   Frondosas: D18, D24, D30, D35, D40, D50, D60 y D70.</t>
  </si>
  <si>
    <t>Tipos de madera laminada encolada:
-   Madera laminada encolada homogénea: GL24h, GL28h, GL32h y GL36h.
-   Madera laminada encolada heterogénea: GL24c, GL28c, GL32c y GL36c.</t>
  </si>
  <si>
    <r>
      <rPr>
        <b/>
        <sz val="11"/>
        <color theme="1"/>
        <rFont val="Calibri"/>
        <family val="2"/>
        <scheme val="minor"/>
      </rPr>
      <t>Clase de uso 1</t>
    </r>
    <r>
      <rPr>
        <sz val="11"/>
        <color theme="1"/>
        <rFont val="Calibri"/>
        <family val="2"/>
        <scheme val="minor"/>
      </rPr>
      <t xml:space="preserve">: el elemento estructural está a cubierto, protegido de la intemperie y no expuesto a la humedad. En estas condiciones la madera maciza tiene un contenido de humedad menor que el 20%. Ejemplos: vigas o pilares en el interior de edificios
</t>
    </r>
    <r>
      <rPr>
        <b/>
        <sz val="11"/>
        <color theme="1"/>
        <rFont val="Calibri"/>
        <family val="2"/>
        <scheme val="minor"/>
      </rPr>
      <t>Clase de uso 2</t>
    </r>
    <r>
      <rPr>
        <sz val="11"/>
        <color theme="1"/>
        <rFont val="Calibri"/>
        <family val="2"/>
        <scheme val="minor"/>
      </rPr>
      <t xml:space="preserve">: el elemento estructural está a cubierto y protegido de la intemperie, pero debido a las condiciones ambientales, se puede dar ocasionalmente un contenido de humedad de la madera mayor que el 20 % en parte o en la totalidad del elemento estructural. Ejemplos: estructuras de piscinas cubiertas o lugares de poca ventilación y humedad elevada.
</t>
    </r>
    <r>
      <rPr>
        <b/>
        <sz val="11"/>
        <color theme="1"/>
        <rFont val="Calibri"/>
        <family val="2"/>
        <scheme val="minor"/>
      </rPr>
      <t>Clase de uso 3</t>
    </r>
    <r>
      <rPr>
        <sz val="11"/>
        <color theme="1"/>
        <rFont val="Calibri"/>
        <family val="2"/>
        <scheme val="minor"/>
      </rPr>
      <t>: el elemento estructural se encuentra al descubierto, no en contacto con el suelo.</t>
    </r>
  </si>
  <si>
    <t>Clases de duración de la carga</t>
  </si>
  <si>
    <t>Permanente: &gt;10 años.
Ejemplos: peso propio.
Larga: 6 meses - 10 años.
Ejemplos: estructuras provisionales.
Media: 1 semana - 6 meses.
Ejemplos: sobrecarga uso, nieve altitud &gt; 1000 msnm.
Corta: &lt;1 semana.
Ejemplos: viento, nieve altitud &lt; 1000 msnm.
Instántanea:
Ejemplo: sismo.</t>
  </si>
  <si>
    <t>Información Técnica de las uniones:</t>
  </si>
  <si>
    <t>Consultar la página de Información Técnica para determinar todos los datos acerca de las distancias recomendadas, mínimas y máximas de las uniones.
En la página de Comprobación uniones también hay esquemas aclaratorios de los conceptos tratados que el usuario puede consultar.</t>
  </si>
  <si>
    <r>
      <t xml:space="preserve">Esta guía resumen del siguiente Excel tiene como objetivo aclarar el uso del mismo en las tres páginas principales del archivo:
-   Valores de cálculo
-   Comprobación secciones
-   Comprobación uniones
Las otras páginas del Excel están destinadas a la referencia y cálculo de las páginas principales, así que </t>
    </r>
    <r>
      <rPr>
        <b/>
        <sz val="11"/>
        <color theme="1"/>
        <rFont val="Calibri"/>
        <family val="2"/>
        <scheme val="minor"/>
      </rPr>
      <t>se recomienda encarecidamente no modificarlas y solamente analizarlas con un objetivo de interés particular.</t>
    </r>
    <r>
      <rPr>
        <sz val="11"/>
        <color theme="1"/>
        <rFont val="Calibri"/>
        <family val="2"/>
        <scheme val="minor"/>
      </rPr>
      <t xml:space="preserve">
Para los usuarios del archivo, se ha realizado una leyenda de colores para facilitar el uso del mismo.</t>
    </r>
  </si>
  <si>
    <t>Este Excel ha sido revisado exhaustivamente para poder proporcionar todos los resultados correctamente. No obstante, es posible que se encuentre algún error en la formulación, por lo que se agradecería contactar con el siguiente correo e informar de los fallos encontrados: hecgarc3@arq.upv.es.
Es responsabilidad del usuario el uso que se pueda dar a esta herramienta.</t>
  </si>
  <si>
    <t>Carga Lateral</t>
  </si>
  <si>
    <t>Carga Axial</t>
  </si>
  <si>
    <t>Valores máximos</t>
  </si>
  <si>
    <t>Combinaciones asociadas</t>
  </si>
  <si>
    <t>Tensiones de cálculo</t>
  </si>
  <si>
    <t>TRACCIÓN PERPENDICULAR</t>
  </si>
  <si>
    <t>COMPRESIÓN PERPENDICULAR</t>
  </si>
  <si>
    <t>Resistencias de la madera</t>
  </si>
  <si>
    <t>Cortante</t>
  </si>
  <si>
    <t>Tracción perp.</t>
  </si>
  <si>
    <t>Tracción para.</t>
  </si>
  <si>
    <t>Compresión para.</t>
  </si>
  <si>
    <r>
      <t>f</t>
    </r>
    <r>
      <rPr>
        <vertAlign val="subscript"/>
        <sz val="11"/>
        <color theme="1"/>
        <rFont val="Arial"/>
        <family val="2"/>
      </rPr>
      <t>m,k</t>
    </r>
  </si>
  <si>
    <r>
      <t>f</t>
    </r>
    <r>
      <rPr>
        <vertAlign val="subscript"/>
        <sz val="11"/>
        <color theme="1"/>
        <rFont val="Arial"/>
        <family val="2"/>
      </rPr>
      <t>t,0,k</t>
    </r>
  </si>
  <si>
    <r>
      <t>f</t>
    </r>
    <r>
      <rPr>
        <vertAlign val="subscript"/>
        <sz val="11"/>
        <color theme="1"/>
        <rFont val="Arial"/>
        <family val="2"/>
      </rPr>
      <t>c,0,k</t>
    </r>
  </si>
  <si>
    <r>
      <t>f</t>
    </r>
    <r>
      <rPr>
        <vertAlign val="subscript"/>
        <sz val="11"/>
        <color theme="1"/>
        <rFont val="Arial"/>
        <family val="2"/>
      </rPr>
      <t>t,90,k</t>
    </r>
  </si>
  <si>
    <r>
      <t>f</t>
    </r>
    <r>
      <rPr>
        <vertAlign val="subscript"/>
        <sz val="11"/>
        <color theme="1"/>
        <rFont val="Arial"/>
        <family val="2"/>
      </rPr>
      <t>c,90,k</t>
    </r>
  </si>
  <si>
    <t>Indices de agotamiento</t>
  </si>
  <si>
    <t>Flexión Y</t>
  </si>
  <si>
    <t>Flexión Z</t>
  </si>
  <si>
    <t>Compr. perp.</t>
  </si>
  <si>
    <r>
      <t>f</t>
    </r>
    <r>
      <rPr>
        <vertAlign val="subscript"/>
        <sz val="11"/>
        <color theme="1"/>
        <rFont val="Arial"/>
        <family val="2"/>
      </rPr>
      <t>v,k</t>
    </r>
  </si>
  <si>
    <t>Indices de agotamiento (combinaciones)</t>
  </si>
  <si>
    <t>Flexión esviada</t>
  </si>
  <si>
    <t>Combinación compresión + flexión</t>
  </si>
  <si>
    <t>Combinación tracción + flexión</t>
  </si>
  <si>
    <t>1era Cond.</t>
  </si>
  <si>
    <t>2da Cond.</t>
  </si>
  <si>
    <t>Comb. Cortante + tracción perp.</t>
  </si>
  <si>
    <t>Sumatorio indices de agotamiento</t>
  </si>
  <si>
    <t>I.A. Tangente a la fibra</t>
  </si>
  <si>
    <t>I.A. Perp. a la fibra</t>
  </si>
  <si>
    <r>
      <t>E</t>
    </r>
    <r>
      <rPr>
        <vertAlign val="subscript"/>
        <sz val="11"/>
        <color theme="1"/>
        <rFont val="Arial"/>
        <family val="2"/>
      </rPr>
      <t>0,medio</t>
    </r>
  </si>
  <si>
    <r>
      <t>E</t>
    </r>
    <r>
      <rPr>
        <vertAlign val="subscript"/>
        <sz val="11"/>
        <color theme="1"/>
        <rFont val="Arial"/>
        <family val="2"/>
      </rPr>
      <t>90,medio</t>
    </r>
  </si>
  <si>
    <r>
      <t>E</t>
    </r>
    <r>
      <rPr>
        <vertAlign val="subscript"/>
        <sz val="11"/>
        <color theme="1"/>
        <rFont val="Arial"/>
        <family val="2"/>
      </rPr>
      <t>0,k</t>
    </r>
  </si>
  <si>
    <r>
      <t>G</t>
    </r>
    <r>
      <rPr>
        <vertAlign val="subscript"/>
        <sz val="11"/>
        <color theme="1"/>
        <rFont val="Arial"/>
        <family val="2"/>
      </rPr>
      <t>medio</t>
    </r>
  </si>
  <si>
    <r>
      <rPr>
        <sz val="11"/>
        <color theme="1"/>
        <rFont val="Calibri"/>
        <family val="2"/>
      </rPr>
      <t>ρ</t>
    </r>
    <r>
      <rPr>
        <vertAlign val="subscript"/>
        <sz val="11"/>
        <color theme="1"/>
        <rFont val="Arial"/>
        <family val="2"/>
      </rPr>
      <t>k</t>
    </r>
  </si>
  <si>
    <r>
      <rPr>
        <sz val="11"/>
        <color theme="1"/>
        <rFont val="Calibri"/>
        <family val="2"/>
      </rPr>
      <t>ρ</t>
    </r>
    <r>
      <rPr>
        <vertAlign val="subscript"/>
        <sz val="11"/>
        <color theme="1"/>
        <rFont val="Arial"/>
        <family val="2"/>
      </rPr>
      <t>medio</t>
    </r>
  </si>
  <si>
    <t>Clavos</t>
  </si>
  <si>
    <t>TABLERO-MADERA</t>
  </si>
  <si>
    <t>ACERO-MADERA</t>
  </si>
  <si>
    <t>MADERA-MADERA</t>
  </si>
  <si>
    <t>Grapas</t>
  </si>
  <si>
    <t>Pernos</t>
  </si>
  <si>
    <t>Tirafondos</t>
  </si>
  <si>
    <t>Pasadores</t>
  </si>
  <si>
    <t>Viento 1</t>
  </si>
  <si>
    <t>Viento 2</t>
  </si>
  <si>
    <t>1,35Q + 1,5U + (1,5 × 0,5)N + (1,5 × 0,5)V1</t>
  </si>
  <si>
    <t>V1</t>
  </si>
  <si>
    <t>V2</t>
  </si>
  <si>
    <t>1,35Q + 1,5U + (1,5 × 0,5)N + (1,5 × 0,5)V2</t>
  </si>
  <si>
    <t>1,35Q + (1,5 × 0,7)U + 1,5N + (1,5 × 0,5)V1</t>
  </si>
  <si>
    <t>1,35Q + (1,5 × 0,7)U + 1,5N + (1,5 × 0,5)V2</t>
  </si>
  <si>
    <t>1,35Q + (1,5 × 0,7)U + (1,5 × 0,5)N + 1,5V1</t>
  </si>
  <si>
    <t>1,35Q + (1,5 × 0,7)U + (1,5 × 0,5)N + 1,5V2</t>
  </si>
  <si>
    <t>I.A. Paralela a la fibra</t>
  </si>
  <si>
    <t>FLEXIÓN ESVIADA Y COMBINACIONES DE INDICES DE AGOTAMIENTO
CORTANTE</t>
  </si>
  <si>
    <t>Documento Básico SE Madera 2019
6.4.4</t>
  </si>
  <si>
    <t>Documento Básico SE Madera 2019
6.1.5</t>
  </si>
  <si>
    <r>
      <t xml:space="preserve">Arriaga Martitegui, F., Argüelles Álvarez, R., Esteban, M., Íñiguez, G., &amp; Argüelles Bustillo, R. (2015). </t>
    </r>
    <r>
      <rPr>
        <i/>
        <sz val="8"/>
        <color theme="1"/>
        <rFont val="Calibri"/>
        <family val="2"/>
        <scheme val="minor"/>
      </rPr>
      <t>Estructuras de madera. Uniones.</t>
    </r>
    <r>
      <rPr>
        <sz val="8"/>
        <color theme="1"/>
        <rFont val="Calibri"/>
        <family val="2"/>
        <scheme val="minor"/>
      </rPr>
      <t xml:space="preserve"> Madrid: AITIM.</t>
    </r>
  </si>
  <si>
    <t>Documento Básico SE Madera 2019
8.3.2.1.1</t>
  </si>
  <si>
    <t>Documento Básico SE Madera 2019
8.3.2.1.2</t>
  </si>
  <si>
    <t>Documento Básico SE Madera 2019
8.3.3</t>
  </si>
  <si>
    <t>Documento Básico SE Madera 2019
8.3.4.1.1</t>
  </si>
  <si>
    <t>Documento Básico SE Madera 2019
8.3.6.2</t>
  </si>
  <si>
    <t>Documento Básico SE Acero 2008
8.5.1</t>
  </si>
  <si>
    <t>1,35Q + 1,5U + (1,5 × 0,5)N</t>
  </si>
  <si>
    <t>1,35Q</t>
  </si>
  <si>
    <t>C9</t>
  </si>
  <si>
    <t>1,35Q + (1,5 × 0,7)U + 1,5N</t>
  </si>
  <si>
    <r>
      <rPr>
        <sz val="18"/>
        <color theme="1"/>
        <rFont val="Calibri"/>
        <family val="2"/>
        <scheme val="minor"/>
      </rPr>
      <t>GUÍA BÁSICA</t>
    </r>
    <r>
      <rPr>
        <sz val="11"/>
        <color theme="1"/>
        <rFont val="Calibri"/>
        <family val="2"/>
        <scheme val="minor"/>
      </rPr>
      <t xml:space="preserve">
</t>
    </r>
    <r>
      <rPr>
        <sz val="16"/>
        <color theme="1"/>
        <rFont val="Calibri"/>
        <family val="2"/>
        <scheme val="minor"/>
      </rPr>
      <t>Rutina para el cálculo y dimensionado de secciones de madera
y sus uniones</t>
    </r>
    <r>
      <rPr>
        <sz val="11"/>
        <color theme="1"/>
        <rFont val="Calibri"/>
        <family val="2"/>
        <scheme val="minor"/>
      </rPr>
      <t xml:space="preserve"> </t>
    </r>
    <r>
      <rPr>
        <sz val="16"/>
        <color theme="1"/>
        <rFont val="Calibri"/>
        <family val="2"/>
        <scheme val="minor"/>
      </rPr>
      <t>basado en la aplicación del CTE DB-SE M 2019</t>
    </r>
  </si>
  <si>
    <r>
      <rPr>
        <sz val="18"/>
        <color theme="1"/>
        <rFont val="Calibri"/>
        <family val="2"/>
        <scheme val="minor"/>
      </rPr>
      <t>GUÍA TÉCNICA</t>
    </r>
    <r>
      <rPr>
        <sz val="11"/>
        <color theme="1"/>
        <rFont val="Calibri"/>
        <family val="2"/>
        <scheme val="minor"/>
      </rPr>
      <t xml:space="preserve">
</t>
    </r>
    <r>
      <rPr>
        <sz val="16"/>
        <color theme="1"/>
        <rFont val="Calibri"/>
        <family val="2"/>
        <scheme val="minor"/>
      </rPr>
      <t>Información varia sobre diseño de uniones 
y sus características (CTE DB-SE M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</si>
</sst>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0\ &quot;kN&quot;"/>
    <numFmt numFmtId="166" formatCode="#,##0.00\ &quot;kNm&quot;"/>
    <numFmt numFmtId="167" formatCode="#,##0\ &quot;mm&quot;"/>
    <numFmt numFmtId="168" formatCode="0.000\ &quot;N/mm²&quot;"/>
    <numFmt numFmtId="169" formatCode="0.0000"/>
    <numFmt numFmtId="170" formatCode="0.00\ &quot;N/mm²&quot;"/>
    <numFmt numFmtId="171" formatCode="_-* #,##0.00\ _€_-;\-* #,##0.00\ _€_-;_-* &quot;-&quot;??\ _€_-;_-@_-"/>
    <numFmt numFmtId="172" formatCode="#,##0\ &quot;mm²&quot;"/>
    <numFmt numFmtId="173" formatCode="_-* #,##0_-;\-* #,##0_-;_-* &quot;-&quot;??_-;_-@_-"/>
    <numFmt numFmtId="174" formatCode="#,##0.0\ &quot;mm&quot;"/>
    <numFmt numFmtId="175" formatCode="#,##0.00\ &quot;N&quot;"/>
    <numFmt numFmtId="176" formatCode="0.00\ &quot;°&quot;"/>
    <numFmt numFmtId="177" formatCode="#,##0.00\ &quot;kg/m³&quot;"/>
  </numFmts>
  <fonts count="20" x14ac:knownFonts="1">
    <font>
      <sz val="11"/>
      <color theme="1"/>
      <name val="Calibri"/>
      <family val="2"/>
      <scheme val="minor"/>
    </font>
    <font>
      <sz val="11"/>
      <color theme="1"/>
      <name val="Calibri"/>
      <family val="2"/>
    </font>
    <font>
      <sz val="8"/>
      <name val="Calibri"/>
      <family val="2"/>
      <scheme val="minor"/>
    </font>
    <font>
      <sz val="11"/>
      <color theme="1"/>
      <name val="Arial"/>
      <family val="2"/>
    </font>
    <font>
      <vertAlign val="subscript"/>
      <sz val="11"/>
      <color theme="1"/>
      <name val="Arial"/>
      <family val="2"/>
    </font>
    <font>
      <sz val="11"/>
      <color theme="1"/>
      <name val="Calibri"/>
      <family val="2"/>
      <scheme val="minor"/>
    </font>
    <font>
      <sz val="9"/>
      <color indexed="81"/>
      <name val="Tahoma"/>
      <family val="2"/>
    </font>
    <font>
      <b/>
      <sz val="9"/>
      <color indexed="81"/>
      <name val="Tahoma"/>
      <family val="2"/>
    </font>
    <font>
      <sz val="9.35"/>
      <color theme="1"/>
      <name val="Calibri"/>
      <family val="2"/>
    </font>
    <font>
      <sz val="16"/>
      <color theme="1"/>
      <name val="Calibri"/>
      <family val="2"/>
      <scheme val="minor"/>
    </font>
    <font>
      <sz val="18"/>
      <color theme="1"/>
      <name val="Calibri"/>
      <family val="2"/>
      <scheme val="minor"/>
    </font>
    <font>
      <b/>
      <sz val="11"/>
      <color theme="1"/>
      <name val="Calibri"/>
      <family val="2"/>
      <scheme val="minor"/>
    </font>
    <font>
      <sz val="12"/>
      <color theme="1"/>
      <name val="Calibri"/>
      <family val="2"/>
      <scheme val="minor"/>
    </font>
    <font>
      <b/>
      <u/>
      <sz val="11"/>
      <color theme="1"/>
      <name val="Calibri"/>
      <family val="2"/>
      <scheme val="minor"/>
    </font>
    <font>
      <i/>
      <sz val="11"/>
      <color theme="1"/>
      <name val="Calibri"/>
      <family val="2"/>
      <scheme val="minor"/>
    </font>
    <font>
      <b/>
      <i/>
      <sz val="11"/>
      <color theme="1"/>
      <name val="Calibri"/>
      <family val="2"/>
      <scheme val="minor"/>
    </font>
    <font>
      <sz val="20"/>
      <color theme="1"/>
      <name val="Calibri"/>
      <family val="2"/>
      <scheme val="minor"/>
    </font>
    <font>
      <sz val="9"/>
      <color indexed="81"/>
      <name val="Tahoma"/>
      <charset val="1"/>
    </font>
    <font>
      <sz val="8"/>
      <color theme="1"/>
      <name val="Calibri"/>
      <family val="2"/>
      <scheme val="minor"/>
    </font>
    <font>
      <i/>
      <sz val="8"/>
      <color theme="1"/>
      <name val="Calibri"/>
      <family val="2"/>
      <scheme val="minor"/>
    </font>
  </fonts>
  <fills count="11">
    <fill>
      <patternFill patternType="none"/>
    </fill>
    <fill>
      <patternFill patternType="gray125"/>
    </fill>
    <fill>
      <patternFill patternType="solid">
        <fgColor theme="5" tint="0.7999816888943144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39997558519241921"/>
        <bgColor indexed="64"/>
      </patternFill>
    </fill>
  </fills>
  <borders count="4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bottom/>
      <diagonal/>
    </border>
    <border>
      <left style="thin">
        <color indexed="64"/>
      </left>
      <right style="thick">
        <color indexed="64"/>
      </right>
      <top/>
      <bottom style="thin">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bottom style="thin">
        <color indexed="64"/>
      </bottom>
      <diagonal/>
    </border>
    <border>
      <left/>
      <right/>
      <top style="thin">
        <color indexed="64"/>
      </top>
      <bottom/>
      <diagonal/>
    </border>
    <border>
      <left/>
      <right style="thick">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ck">
        <color indexed="64"/>
      </right>
      <top style="medium">
        <color indexed="64"/>
      </top>
      <bottom/>
      <diagonal/>
    </border>
    <border>
      <left style="medium">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ck">
        <color indexed="64"/>
      </left>
      <right/>
      <top style="medium">
        <color indexed="64"/>
      </top>
      <bottom/>
      <diagonal/>
    </border>
    <border>
      <left style="thick">
        <color indexed="64"/>
      </left>
      <right/>
      <top/>
      <bottom/>
      <diagonal/>
    </border>
    <border>
      <left style="thick">
        <color indexed="64"/>
      </left>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ck">
        <color indexed="64"/>
      </left>
      <right style="thick">
        <color indexed="64"/>
      </right>
      <top style="thin">
        <color indexed="64"/>
      </top>
      <bottom/>
      <diagonal/>
    </border>
    <border>
      <left style="thin">
        <color indexed="64"/>
      </left>
      <right style="thick">
        <color indexed="64"/>
      </right>
      <top/>
      <bottom/>
      <diagonal/>
    </border>
  </borders>
  <cellStyleXfs count="2">
    <xf numFmtId="0" fontId="0" fillId="0" borderId="0"/>
    <xf numFmtId="43" fontId="5" fillId="0" borderId="0" applyFont="0" applyFill="0" applyBorder="0" applyAlignment="0" applyProtection="0"/>
  </cellStyleXfs>
  <cellXfs count="289">
    <xf numFmtId="0" fontId="0" fillId="0" borderId="0" xfId="0"/>
    <xf numFmtId="0" fontId="0" fillId="0" borderId="0" xfId="0" applyAlignment="1"/>
    <xf numFmtId="0" fontId="0" fillId="2" borderId="3" xfId="0" applyFill="1" applyBorder="1" applyAlignment="1"/>
    <xf numFmtId="0" fontId="0" fillId="0" borderId="0" xfId="0" applyBorder="1"/>
    <xf numFmtId="2" fontId="0" fillId="0" borderId="0" xfId="0" applyNumberFormat="1" applyBorder="1"/>
    <xf numFmtId="0" fontId="0" fillId="0" borderId="3" xfId="0" applyBorder="1"/>
    <xf numFmtId="2" fontId="0" fillId="0" borderId="3" xfId="0" applyNumberFormat="1" applyBorder="1"/>
    <xf numFmtId="164" fontId="0" fillId="0" borderId="3" xfId="0" applyNumberFormat="1" applyBorder="1"/>
    <xf numFmtId="0" fontId="0" fillId="0" borderId="0" xfId="0" applyFill="1" applyBorder="1" applyAlignment="1">
      <alignment wrapText="1"/>
    </xf>
    <xf numFmtId="0" fontId="0" fillId="0" borderId="0" xfId="0" applyFill="1" applyBorder="1" applyAlignment="1">
      <alignment vertical="top"/>
    </xf>
    <xf numFmtId="2" fontId="0" fillId="0" borderId="0" xfId="0" applyNumberFormat="1" applyFill="1" applyBorder="1"/>
    <xf numFmtId="0" fontId="0" fillId="0" borderId="3" xfId="0" applyBorder="1" applyAlignment="1">
      <alignment wrapText="1"/>
    </xf>
    <xf numFmtId="0" fontId="0" fillId="0" borderId="3" xfId="0" applyFill="1" applyBorder="1" applyAlignment="1">
      <alignment vertical="top"/>
    </xf>
    <xf numFmtId="2" fontId="0" fillId="0" borderId="3" xfId="0" applyNumberFormat="1" applyFill="1" applyBorder="1"/>
    <xf numFmtId="0" fontId="0" fillId="0" borderId="3" xfId="0" applyFill="1" applyBorder="1" applyAlignment="1">
      <alignment vertical="top" wrapText="1"/>
    </xf>
    <xf numFmtId="0" fontId="0" fillId="0" borderId="3" xfId="0" applyFill="1" applyBorder="1" applyAlignment="1">
      <alignment wrapText="1"/>
    </xf>
    <xf numFmtId="0" fontId="0" fillId="0" borderId="0" xfId="0" applyBorder="1" applyAlignment="1"/>
    <xf numFmtId="164" fontId="0" fillId="0" borderId="0" xfId="0" applyNumberFormat="1" applyBorder="1"/>
    <xf numFmtId="0" fontId="0" fillId="0" borderId="0" xfId="0" applyFill="1" applyBorder="1" applyAlignment="1"/>
    <xf numFmtId="0" fontId="0" fillId="2" borderId="3" xfId="0" applyFill="1" applyBorder="1" applyAlignment="1">
      <alignment wrapText="1"/>
    </xf>
    <xf numFmtId="0" fontId="0" fillId="7" borderId="3" xfId="0" applyFill="1" applyBorder="1"/>
    <xf numFmtId="0" fontId="0" fillId="2" borderId="3" xfId="0" applyFill="1" applyBorder="1"/>
    <xf numFmtId="0" fontId="0" fillId="0" borderId="2" xfId="0" applyBorder="1" applyAlignment="1"/>
    <xf numFmtId="0" fontId="0" fillId="0" borderId="5" xfId="0" applyBorder="1" applyAlignment="1"/>
    <xf numFmtId="0" fontId="0" fillId="0" borderId="0" xfId="0" applyAlignment="1">
      <alignment horizontal="left"/>
    </xf>
    <xf numFmtId="43" fontId="0" fillId="0" borderId="0" xfId="1" applyFont="1"/>
    <xf numFmtId="43" fontId="1" fillId="0" borderId="0" xfId="1" applyFont="1"/>
    <xf numFmtId="43" fontId="0" fillId="0" borderId="0" xfId="1" applyFont="1" applyAlignment="1"/>
    <xf numFmtId="43" fontId="0" fillId="0" borderId="0" xfId="1" applyFont="1" applyAlignment="1">
      <alignment horizontal="left"/>
    </xf>
    <xf numFmtId="43" fontId="0" fillId="0" borderId="0" xfId="0" applyNumberFormat="1"/>
    <xf numFmtId="171" fontId="0" fillId="0" borderId="0" xfId="0" applyNumberFormat="1"/>
    <xf numFmtId="0" fontId="0" fillId="0" borderId="0" xfId="0" applyNumberFormat="1"/>
    <xf numFmtId="0" fontId="0" fillId="0" borderId="0" xfId="0" applyNumberFormat="1" applyAlignment="1"/>
    <xf numFmtId="0" fontId="0" fillId="0" borderId="0" xfId="1" applyNumberFormat="1" applyFont="1" applyAlignment="1"/>
    <xf numFmtId="0" fontId="0" fillId="0" borderId="0" xfId="1" applyNumberFormat="1" applyFont="1"/>
    <xf numFmtId="43" fontId="0" fillId="0" borderId="3" xfId="1" applyFont="1" applyBorder="1"/>
    <xf numFmtId="169" fontId="0" fillId="0" borderId="2" xfId="0" applyNumberFormat="1" applyBorder="1"/>
    <xf numFmtId="0" fontId="0" fillId="0" borderId="0" xfId="0" quotePrefix="1"/>
    <xf numFmtId="2" fontId="0" fillId="0" borderId="0" xfId="1" applyNumberFormat="1" applyFont="1"/>
    <xf numFmtId="0" fontId="0" fillId="0" borderId="0" xfId="0" applyAlignment="1">
      <alignment vertical="top" wrapText="1"/>
    </xf>
    <xf numFmtId="0" fontId="0" fillId="10" borderId="7" xfId="0" applyFill="1" applyBorder="1" applyAlignment="1">
      <alignment vertical="top" wrapText="1"/>
    </xf>
    <xf numFmtId="0" fontId="0" fillId="2" borderId="7" xfId="0" applyFill="1" applyBorder="1" applyAlignment="1">
      <alignment vertical="top" wrapText="1"/>
    </xf>
    <xf numFmtId="0" fontId="0" fillId="8" borderId="7" xfId="0" applyFill="1" applyBorder="1" applyAlignment="1">
      <alignment vertical="top" wrapText="1"/>
    </xf>
    <xf numFmtId="0" fontId="0" fillId="0" borderId="0" xfId="0" applyBorder="1" applyAlignment="1">
      <alignment vertical="top"/>
    </xf>
    <xf numFmtId="0" fontId="0" fillId="0" borderId="0" xfId="0" applyBorder="1" applyAlignment="1">
      <alignment vertical="top" wrapText="1"/>
    </xf>
    <xf numFmtId="0" fontId="0" fillId="0" borderId="5" xfId="0" applyBorder="1" applyAlignment="1">
      <alignment horizontal="center" vertical="top" wrapText="1"/>
    </xf>
    <xf numFmtId="0" fontId="0" fillId="0" borderId="5" xfId="0" applyBorder="1" applyAlignment="1">
      <alignment vertical="top" wrapText="1"/>
    </xf>
    <xf numFmtId="0" fontId="0" fillId="0" borderId="0" xfId="0" applyProtection="1">
      <protection locked="0"/>
    </xf>
    <xf numFmtId="0" fontId="0" fillId="0" borderId="16" xfId="0" applyBorder="1" applyProtection="1">
      <protection locked="0"/>
    </xf>
    <xf numFmtId="0" fontId="0" fillId="8" borderId="7" xfId="0" applyFill="1" applyBorder="1" applyProtection="1">
      <protection locked="0"/>
    </xf>
    <xf numFmtId="0" fontId="0" fillId="2" borderId="3" xfId="0" applyFill="1" applyBorder="1" applyAlignment="1" applyProtection="1">
      <alignment horizontal="center"/>
      <protection locked="0"/>
    </xf>
    <xf numFmtId="0" fontId="1" fillId="0" borderId="0" xfId="0" applyFont="1" applyBorder="1" applyProtection="1">
      <protection locked="0"/>
    </xf>
    <xf numFmtId="0" fontId="0" fillId="0" borderId="0" xfId="0" applyBorder="1" applyProtection="1">
      <protection locked="0"/>
    </xf>
    <xf numFmtId="167" fontId="0" fillId="8" borderId="3" xfId="0" applyNumberFormat="1" applyFill="1" applyBorder="1" applyProtection="1">
      <protection locked="0"/>
    </xf>
    <xf numFmtId="165" fontId="0" fillId="8" borderId="5" xfId="0" applyNumberFormat="1" applyFill="1" applyBorder="1" applyProtection="1">
      <protection locked="0"/>
    </xf>
    <xf numFmtId="165" fontId="0" fillId="8" borderId="3" xfId="0" applyNumberFormat="1" applyFill="1" applyBorder="1" applyProtection="1">
      <protection locked="0"/>
    </xf>
    <xf numFmtId="166" fontId="0" fillId="8" borderId="3" xfId="0" applyNumberFormat="1" applyFill="1" applyBorder="1" applyProtection="1">
      <protection locked="0"/>
    </xf>
    <xf numFmtId="165" fontId="0" fillId="8" borderId="15" xfId="0" applyNumberFormat="1" applyFill="1" applyBorder="1" applyProtection="1">
      <protection locked="0"/>
    </xf>
    <xf numFmtId="165" fontId="0" fillId="8" borderId="17" xfId="0" applyNumberFormat="1" applyFill="1" applyBorder="1" applyProtection="1">
      <protection locked="0"/>
    </xf>
    <xf numFmtId="0" fontId="3" fillId="0" borderId="0" xfId="0" applyFont="1" applyFill="1" applyBorder="1" applyAlignment="1" applyProtection="1">
      <alignment horizontal="right"/>
      <protection locked="0"/>
    </xf>
    <xf numFmtId="0" fontId="0" fillId="0" borderId="0" xfId="0" applyBorder="1" applyAlignment="1" applyProtection="1">
      <alignment wrapText="1"/>
      <protection locked="0"/>
    </xf>
    <xf numFmtId="0" fontId="0" fillId="0" borderId="0" xfId="0" applyFill="1" applyBorder="1" applyAlignment="1" applyProtection="1">
      <alignment wrapText="1"/>
      <protection locked="0"/>
    </xf>
    <xf numFmtId="0" fontId="0" fillId="0" borderId="0" xfId="0" applyFill="1" applyBorder="1" applyAlignment="1" applyProtection="1">
      <protection locked="0"/>
    </xf>
    <xf numFmtId="43" fontId="0" fillId="0" borderId="0" xfId="1" applyFont="1" applyProtection="1">
      <protection locked="0"/>
    </xf>
    <xf numFmtId="0" fontId="0" fillId="9" borderId="7" xfId="0" applyFill="1" applyBorder="1" applyProtection="1"/>
    <xf numFmtId="0" fontId="0" fillId="0" borderId="0" xfId="0" applyProtection="1"/>
    <xf numFmtId="0" fontId="0" fillId="2" borderId="8" xfId="0" applyFill="1" applyBorder="1" applyAlignment="1" applyProtection="1">
      <alignment wrapText="1"/>
    </xf>
    <xf numFmtId="0" fontId="0" fillId="0" borderId="3" xfId="0" applyBorder="1" applyProtection="1"/>
    <xf numFmtId="0" fontId="3" fillId="0" borderId="0" xfId="0" applyFont="1" applyFill="1" applyBorder="1" applyAlignment="1" applyProtection="1">
      <alignment horizontal="right" vertical="center"/>
    </xf>
    <xf numFmtId="0" fontId="3" fillId="0" borderId="0" xfId="0" applyFont="1" applyFill="1" applyBorder="1" applyAlignment="1" applyProtection="1">
      <alignment horizontal="right"/>
    </xf>
    <xf numFmtId="0" fontId="0" fillId="2" borderId="3" xfId="0" applyFill="1" applyBorder="1" applyAlignment="1" applyProtection="1"/>
    <xf numFmtId="0" fontId="0" fillId="0" borderId="3" xfId="0" applyBorder="1" applyAlignment="1" applyProtection="1">
      <alignment wrapText="1"/>
    </xf>
    <xf numFmtId="0" fontId="0" fillId="0" borderId="3" xfId="0" applyFill="1" applyBorder="1" applyAlignment="1" applyProtection="1">
      <alignment vertical="top" wrapText="1"/>
    </xf>
    <xf numFmtId="0" fontId="0" fillId="0" borderId="3" xfId="0" applyFill="1" applyBorder="1" applyAlignment="1" applyProtection="1">
      <alignment wrapText="1"/>
    </xf>
    <xf numFmtId="0" fontId="0" fillId="0" borderId="0" xfId="0" applyBorder="1" applyProtection="1"/>
    <xf numFmtId="0" fontId="0" fillId="2" borderId="8" xfId="0" applyFill="1" applyBorder="1" applyProtection="1"/>
    <xf numFmtId="0" fontId="0" fillId="2" borderId="3" xfId="0" applyFill="1" applyBorder="1" applyProtection="1"/>
    <xf numFmtId="0" fontId="0" fillId="0" borderId="0" xfId="0" applyFill="1" applyBorder="1" applyAlignment="1" applyProtection="1"/>
    <xf numFmtId="43" fontId="0" fillId="0" borderId="0" xfId="1" applyFont="1" applyProtection="1"/>
    <xf numFmtId="43" fontId="0" fillId="0" borderId="3" xfId="1" applyFont="1" applyBorder="1" applyProtection="1"/>
    <xf numFmtId="2" fontId="0" fillId="0" borderId="0" xfId="0" applyNumberFormat="1" applyProtection="1"/>
    <xf numFmtId="0" fontId="0" fillId="0" borderId="16" xfId="0" applyBorder="1" applyProtection="1"/>
    <xf numFmtId="0" fontId="0" fillId="9" borderId="17" xfId="0" applyFill="1" applyBorder="1" applyAlignment="1" applyProtection="1">
      <alignment horizontal="center"/>
    </xf>
    <xf numFmtId="0" fontId="0" fillId="2" borderId="5" xfId="0" applyFill="1" applyBorder="1" applyAlignment="1" applyProtection="1">
      <alignment horizontal="center"/>
    </xf>
    <xf numFmtId="0" fontId="0" fillId="2" borderId="3" xfId="0" applyFill="1" applyBorder="1" applyAlignment="1" applyProtection="1">
      <alignment horizontal="center"/>
    </xf>
    <xf numFmtId="0" fontId="0" fillId="2" borderId="15" xfId="0" applyFill="1" applyBorder="1" applyAlignment="1" applyProtection="1">
      <alignment horizontal="center"/>
    </xf>
    <xf numFmtId="0" fontId="0" fillId="2" borderId="17" xfId="0" applyFill="1" applyBorder="1" applyAlignment="1" applyProtection="1">
      <alignment horizontal="center"/>
    </xf>
    <xf numFmtId="0" fontId="0" fillId="0" borderId="15" xfId="0" applyFont="1" applyBorder="1" applyProtection="1"/>
    <xf numFmtId="165" fontId="0" fillId="0" borderId="0" xfId="0" applyNumberFormat="1" applyProtection="1"/>
    <xf numFmtId="165" fontId="0" fillId="0" borderId="37" xfId="0" applyNumberFormat="1" applyBorder="1" applyProtection="1"/>
    <xf numFmtId="165" fontId="0" fillId="0" borderId="18" xfId="0" applyNumberFormat="1" applyBorder="1" applyProtection="1"/>
    <xf numFmtId="0" fontId="0" fillId="0" borderId="15" xfId="0" applyBorder="1" applyProtection="1"/>
    <xf numFmtId="165" fontId="0" fillId="0" borderId="16" xfId="0" applyNumberFormat="1" applyBorder="1" applyProtection="1"/>
    <xf numFmtId="165" fontId="0" fillId="0" borderId="0" xfId="0" applyNumberFormat="1" applyBorder="1" applyProtection="1"/>
    <xf numFmtId="166" fontId="0" fillId="0" borderId="0" xfId="0" applyNumberFormat="1" applyBorder="1" applyProtection="1"/>
    <xf numFmtId="0" fontId="0" fillId="0" borderId="1" xfId="0" applyBorder="1" applyProtection="1"/>
    <xf numFmtId="0" fontId="0" fillId="2" borderId="15" xfId="0" applyFill="1" applyBorder="1" applyProtection="1"/>
    <xf numFmtId="165" fontId="0" fillId="0" borderId="4" xfId="0" applyNumberFormat="1" applyBorder="1" applyProtection="1"/>
    <xf numFmtId="165" fontId="0" fillId="0" borderId="8" xfId="0" applyNumberFormat="1" applyBorder="1" applyProtection="1"/>
    <xf numFmtId="166" fontId="0" fillId="0" borderId="8" xfId="0" applyNumberFormat="1" applyBorder="1" applyProtection="1"/>
    <xf numFmtId="165" fontId="0" fillId="0" borderId="19" xfId="0" applyNumberFormat="1" applyBorder="1" applyProtection="1"/>
    <xf numFmtId="165" fontId="0" fillId="0" borderId="28" xfId="0" applyNumberFormat="1" applyBorder="1" applyProtection="1"/>
    <xf numFmtId="0" fontId="0" fillId="0" borderId="5" xfId="0" applyBorder="1" applyAlignment="1" applyProtection="1">
      <alignment horizontal="right"/>
    </xf>
    <xf numFmtId="0" fontId="0" fillId="0" borderId="3" xfId="0" applyBorder="1" applyAlignment="1" applyProtection="1">
      <alignment horizontal="right"/>
    </xf>
    <xf numFmtId="0" fontId="0" fillId="0" borderId="15" xfId="0" applyBorder="1" applyAlignment="1" applyProtection="1">
      <alignment horizontal="right"/>
    </xf>
    <xf numFmtId="0" fontId="0" fillId="0" borderId="17" xfId="0" applyBorder="1" applyAlignment="1" applyProtection="1">
      <alignment horizontal="right"/>
    </xf>
    <xf numFmtId="0" fontId="0" fillId="0" borderId="8" xfId="0" applyBorder="1" applyProtection="1"/>
    <xf numFmtId="0" fontId="0" fillId="0" borderId="19" xfId="0" applyBorder="1" applyProtection="1"/>
    <xf numFmtId="0" fontId="0" fillId="9" borderId="21" xfId="0" applyFill="1" applyBorder="1" applyProtection="1"/>
    <xf numFmtId="0" fontId="0" fillId="0" borderId="0" xfId="0" applyAlignment="1" applyProtection="1">
      <protection locked="0"/>
    </xf>
    <xf numFmtId="0" fontId="3" fillId="0" borderId="0" xfId="0" applyFont="1" applyAlignment="1" applyProtection="1">
      <alignment horizontal="right"/>
      <protection locked="0"/>
    </xf>
    <xf numFmtId="166" fontId="0" fillId="8" borderId="38" xfId="0" applyNumberFormat="1" applyFill="1" applyBorder="1" applyProtection="1">
      <protection locked="0"/>
    </xf>
    <xf numFmtId="43" fontId="0" fillId="8" borderId="38" xfId="1" applyFont="1" applyFill="1" applyBorder="1" applyProtection="1">
      <protection locked="0"/>
    </xf>
    <xf numFmtId="168" fontId="0" fillId="0" borderId="0" xfId="0" applyNumberFormat="1" applyProtection="1">
      <protection locked="0"/>
    </xf>
    <xf numFmtId="167" fontId="0" fillId="8" borderId="15" xfId="0" applyNumberFormat="1" applyFill="1" applyBorder="1" applyProtection="1">
      <protection locked="0"/>
    </xf>
    <xf numFmtId="169" fontId="0" fillId="0" borderId="0" xfId="0" applyNumberFormat="1" applyProtection="1">
      <protection locked="0"/>
    </xf>
    <xf numFmtId="0" fontId="0" fillId="0" borderId="0" xfId="0" applyFill="1" applyBorder="1" applyProtection="1">
      <protection locked="0"/>
    </xf>
    <xf numFmtId="168" fontId="0" fillId="0" borderId="0" xfId="0" applyNumberFormat="1" applyFill="1" applyBorder="1" applyProtection="1">
      <protection locked="0"/>
    </xf>
    <xf numFmtId="2" fontId="0" fillId="0" borderId="0" xfId="0" applyNumberFormat="1" applyFill="1" applyBorder="1" applyProtection="1">
      <protection locked="0"/>
    </xf>
    <xf numFmtId="170" fontId="0" fillId="0" borderId="0" xfId="0" applyNumberFormat="1" applyFill="1" applyBorder="1" applyProtection="1">
      <protection locked="0"/>
    </xf>
    <xf numFmtId="169" fontId="0" fillId="0" borderId="0" xfId="0" applyNumberFormat="1" applyFill="1" applyBorder="1" applyProtection="1">
      <protection locked="0"/>
    </xf>
    <xf numFmtId="0" fontId="13" fillId="0" borderId="0" xfId="0" applyFont="1" applyFill="1" applyBorder="1" applyAlignment="1" applyProtection="1">
      <alignment horizontal="center" vertical="center"/>
      <protection locked="0"/>
    </xf>
    <xf numFmtId="165" fontId="0" fillId="0" borderId="0" xfId="0" applyNumberFormat="1" applyFill="1" applyBorder="1" applyProtection="1">
      <protection locked="0"/>
    </xf>
    <xf numFmtId="167" fontId="0" fillId="0" borderId="0" xfId="0" applyNumberFormat="1" applyFill="1" applyBorder="1" applyProtection="1">
      <protection locked="0"/>
    </xf>
    <xf numFmtId="170" fontId="0" fillId="0" borderId="0" xfId="0" applyNumberFormat="1" applyBorder="1" applyProtection="1">
      <protection locked="0"/>
    </xf>
    <xf numFmtId="170" fontId="0" fillId="0" borderId="0" xfId="0" applyNumberFormat="1" applyBorder="1" applyAlignment="1" applyProtection="1">
      <alignment vertical="center"/>
      <protection locked="0"/>
    </xf>
    <xf numFmtId="0" fontId="0" fillId="0" borderId="0" xfId="0" applyAlignment="1" applyProtection="1">
      <alignment horizontal="center"/>
      <protection locked="0"/>
    </xf>
    <xf numFmtId="169" fontId="0" fillId="0" borderId="0" xfId="0" applyNumberFormat="1" applyBorder="1" applyProtection="1">
      <protection locked="0"/>
    </xf>
    <xf numFmtId="0" fontId="3" fillId="0" borderId="0" xfId="0" applyFont="1" applyBorder="1" applyAlignment="1" applyProtection="1">
      <alignment horizontal="right"/>
      <protection locked="0"/>
    </xf>
    <xf numFmtId="0" fontId="3" fillId="0" borderId="39" xfId="0" applyFont="1" applyBorder="1" applyAlignment="1" applyProtection="1">
      <alignment horizontal="right"/>
    </xf>
    <xf numFmtId="2" fontId="0" fillId="0" borderId="34" xfId="0" applyNumberFormat="1" applyBorder="1" applyProtection="1"/>
    <xf numFmtId="0" fontId="0" fillId="0" borderId="40" xfId="0" applyFill="1" applyBorder="1" applyAlignment="1" applyProtection="1"/>
    <xf numFmtId="0" fontId="0" fillId="0" borderId="16" xfId="0" applyFill="1" applyBorder="1" applyAlignment="1" applyProtection="1"/>
    <xf numFmtId="0" fontId="3" fillId="0" borderId="40" xfId="0" applyFont="1" applyBorder="1" applyAlignment="1" applyProtection="1">
      <alignment horizontal="right"/>
    </xf>
    <xf numFmtId="167" fontId="0" fillId="0" borderId="16" xfId="0" applyNumberFormat="1" applyBorder="1" applyProtection="1"/>
    <xf numFmtId="0" fontId="3" fillId="0" borderId="0" xfId="0" applyFont="1" applyAlignment="1" applyProtection="1">
      <alignment horizontal="right"/>
    </xf>
    <xf numFmtId="169" fontId="0" fillId="0" borderId="0" xfId="0" applyNumberFormat="1" applyProtection="1"/>
    <xf numFmtId="169" fontId="0" fillId="0" borderId="16" xfId="0" applyNumberFormat="1" applyBorder="1" applyProtection="1"/>
    <xf numFmtId="172" fontId="0" fillId="0" borderId="16" xfId="0" applyNumberFormat="1" applyBorder="1" applyProtection="1"/>
    <xf numFmtId="0" fontId="0" fillId="0" borderId="0" xfId="0" applyAlignment="1" applyProtection="1">
      <alignment horizontal="right"/>
    </xf>
    <xf numFmtId="0" fontId="0" fillId="9" borderId="15" xfId="0" applyFill="1" applyBorder="1" applyAlignment="1" applyProtection="1">
      <alignment horizontal="center"/>
    </xf>
    <xf numFmtId="0" fontId="0" fillId="9" borderId="30" xfId="0" applyFill="1" applyBorder="1" applyAlignment="1" applyProtection="1">
      <alignment horizontal="center"/>
    </xf>
    <xf numFmtId="0" fontId="0" fillId="9" borderId="19" xfId="0" applyFill="1" applyBorder="1" applyAlignment="1" applyProtection="1">
      <alignment horizontal="center"/>
    </xf>
    <xf numFmtId="0" fontId="0" fillId="2" borderId="30" xfId="0" applyFill="1" applyBorder="1" applyAlignment="1" applyProtection="1">
      <alignment horizontal="center"/>
    </xf>
    <xf numFmtId="166" fontId="0" fillId="0" borderId="0" xfId="0" applyNumberFormat="1" applyProtection="1"/>
    <xf numFmtId="0" fontId="3" fillId="2" borderId="3" xfId="0" applyFont="1" applyFill="1" applyBorder="1" applyAlignment="1" applyProtection="1">
      <alignment horizontal="right"/>
    </xf>
    <xf numFmtId="168" fontId="0" fillId="0" borderId="0" xfId="0" applyNumberFormat="1" applyProtection="1"/>
    <xf numFmtId="170" fontId="0" fillId="0" borderId="0" xfId="0" applyNumberFormat="1" applyProtection="1"/>
    <xf numFmtId="0" fontId="15" fillId="0" borderId="0" xfId="0" applyFont="1" applyAlignment="1" applyProtection="1">
      <alignment horizontal="right"/>
    </xf>
    <xf numFmtId="0" fontId="0" fillId="0" borderId="0" xfId="0" applyAlignment="1" applyProtection="1">
      <alignment horizontal="center" vertical="center"/>
    </xf>
    <xf numFmtId="0" fontId="15" fillId="0" borderId="0" xfId="0" applyFont="1" applyProtection="1"/>
    <xf numFmtId="169" fontId="0" fillId="0" borderId="0" xfId="0" applyNumberFormat="1" applyAlignment="1" applyProtection="1">
      <alignment horizontal="center" vertical="center"/>
    </xf>
    <xf numFmtId="0" fontId="15" fillId="0" borderId="0" xfId="0" applyFont="1" applyAlignment="1" applyProtection="1">
      <alignment horizontal="center" vertical="center"/>
    </xf>
    <xf numFmtId="170" fontId="0" fillId="0" borderId="0" xfId="0" applyNumberFormat="1" applyAlignment="1" applyProtection="1">
      <alignment vertical="center"/>
    </xf>
    <xf numFmtId="175" fontId="0" fillId="8" borderId="3" xfId="1" applyNumberFormat="1" applyFont="1" applyFill="1" applyBorder="1" applyProtection="1">
      <protection locked="0"/>
    </xf>
    <xf numFmtId="43" fontId="0" fillId="8" borderId="3" xfId="1" applyFont="1" applyFill="1" applyBorder="1" applyProtection="1">
      <protection locked="0"/>
    </xf>
    <xf numFmtId="170" fontId="0" fillId="8" borderId="3" xfId="0" applyNumberFormat="1" applyFill="1" applyBorder="1" applyProtection="1">
      <protection locked="0"/>
    </xf>
    <xf numFmtId="173" fontId="0" fillId="8" borderId="3" xfId="1" applyNumberFormat="1" applyFont="1" applyFill="1" applyBorder="1" applyProtection="1">
      <protection locked="0"/>
    </xf>
    <xf numFmtId="177" fontId="0" fillId="8" borderId="3" xfId="1" applyNumberFormat="1" applyFont="1" applyFill="1" applyBorder="1" applyProtection="1">
      <protection locked="0"/>
    </xf>
    <xf numFmtId="43" fontId="0" fillId="8" borderId="7" xfId="1" applyFont="1" applyFill="1" applyBorder="1" applyProtection="1">
      <protection locked="0"/>
    </xf>
    <xf numFmtId="43" fontId="0" fillId="8" borderId="13" xfId="1" applyFont="1" applyFill="1" applyBorder="1" applyProtection="1">
      <protection locked="0"/>
    </xf>
    <xf numFmtId="174" fontId="0" fillId="8" borderId="3" xfId="0" applyNumberFormat="1" applyFill="1" applyBorder="1" applyProtection="1">
      <protection locked="0"/>
    </xf>
    <xf numFmtId="43" fontId="1" fillId="0" borderId="0" xfId="1" applyFont="1" applyProtection="1">
      <protection locked="0"/>
    </xf>
    <xf numFmtId="176" fontId="0" fillId="8" borderId="3" xfId="1" applyNumberFormat="1" applyFont="1" applyFill="1" applyBorder="1" applyProtection="1">
      <protection locked="0"/>
    </xf>
    <xf numFmtId="43" fontId="0" fillId="0" borderId="0" xfId="1" applyFont="1" applyFill="1" applyBorder="1" applyProtection="1">
      <protection locked="0"/>
    </xf>
    <xf numFmtId="43" fontId="0" fillId="0" borderId="0" xfId="1" applyFont="1" applyFill="1" applyBorder="1" applyAlignment="1" applyProtection="1">
      <alignment horizontal="center"/>
      <protection locked="0"/>
    </xf>
    <xf numFmtId="43" fontId="0" fillId="0" borderId="0" xfId="1" applyFont="1" applyBorder="1" applyProtection="1">
      <protection locked="0"/>
    </xf>
    <xf numFmtId="43" fontId="0" fillId="0" borderId="0" xfId="1" applyFont="1" applyFill="1" applyBorder="1" applyAlignment="1" applyProtection="1">
      <alignment horizontal="center" vertical="center"/>
      <protection locked="0"/>
    </xf>
    <xf numFmtId="167" fontId="0" fillId="0" borderId="0" xfId="0" applyNumberFormat="1" applyBorder="1" applyProtection="1">
      <protection locked="0"/>
    </xf>
    <xf numFmtId="43" fontId="0" fillId="2" borderId="3" xfId="1" applyFont="1" applyFill="1" applyBorder="1" applyProtection="1"/>
    <xf numFmtId="43" fontId="0" fillId="0" borderId="0" xfId="1" applyFont="1" applyAlignment="1" applyProtection="1">
      <alignment horizontal="left"/>
    </xf>
    <xf numFmtId="43" fontId="0" fillId="2" borderId="3" xfId="1" applyFont="1" applyFill="1" applyBorder="1" applyAlignment="1" applyProtection="1">
      <alignment horizontal="center"/>
    </xf>
    <xf numFmtId="43" fontId="0" fillId="0" borderId="0" xfId="1" applyFont="1" applyFill="1" applyBorder="1" applyProtection="1"/>
    <xf numFmtId="43" fontId="0" fillId="0" borderId="0" xfId="1" applyFont="1" applyFill="1" applyBorder="1" applyAlignment="1" applyProtection="1">
      <alignment horizontal="center"/>
    </xf>
    <xf numFmtId="0" fontId="3" fillId="0" borderId="0" xfId="0" applyFont="1" applyAlignment="1" applyProtection="1">
      <alignment horizontal="left"/>
    </xf>
    <xf numFmtId="43" fontId="1" fillId="0" borderId="0" xfId="1" applyFont="1" applyProtection="1"/>
    <xf numFmtId="175" fontId="0" fillId="0" borderId="0" xfId="1" applyNumberFormat="1" applyFont="1" applyProtection="1"/>
    <xf numFmtId="0" fontId="0" fillId="9" borderId="15" xfId="0" applyFill="1" applyBorder="1" applyAlignment="1" applyProtection="1">
      <alignment horizontal="center"/>
    </xf>
    <xf numFmtId="0" fontId="0" fillId="2" borderId="3" xfId="0" applyFill="1" applyBorder="1" applyAlignment="1" applyProtection="1">
      <alignment horizontal="center"/>
    </xf>
    <xf numFmtId="0" fontId="0" fillId="0" borderId="0" xfId="0" applyAlignment="1" applyProtection="1">
      <alignment horizontal="center" vertical="center"/>
    </xf>
    <xf numFmtId="0" fontId="15" fillId="0" borderId="0" xfId="0" applyFont="1" applyAlignment="1" applyProtection="1">
      <alignment horizontal="center" vertical="center"/>
    </xf>
    <xf numFmtId="0" fontId="0" fillId="0" borderId="14" xfId="0" applyBorder="1" applyAlignment="1">
      <alignment horizontal="left" vertical="top" wrapText="1"/>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9" xfId="0" applyBorder="1" applyAlignment="1">
      <alignment horizontal="left" vertical="top" wrapText="1"/>
    </xf>
    <xf numFmtId="0" fontId="0" fillId="0" borderId="0"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10" borderId="10" xfId="0" applyFill="1" applyBorder="1" applyAlignment="1">
      <alignment horizontal="center" vertical="center" wrapText="1"/>
    </xf>
    <xf numFmtId="0" fontId="0" fillId="10" borderId="11" xfId="0" applyFill="1" applyBorder="1" applyAlignment="1">
      <alignment horizontal="center" vertical="center"/>
    </xf>
    <xf numFmtId="0" fontId="0" fillId="10" borderId="12" xfId="0" applyFill="1" applyBorder="1" applyAlignment="1">
      <alignment horizontal="center" vertical="center"/>
    </xf>
    <xf numFmtId="0" fontId="0" fillId="2" borderId="10" xfId="0" applyFill="1" applyBorder="1" applyAlignment="1">
      <alignment horizontal="center"/>
    </xf>
    <xf numFmtId="0" fontId="0" fillId="2" borderId="11" xfId="0" applyFill="1" applyBorder="1" applyAlignment="1">
      <alignment horizontal="center"/>
    </xf>
    <xf numFmtId="0" fontId="0" fillId="2" borderId="12" xfId="0" applyFill="1" applyBorder="1" applyAlignment="1">
      <alignment horizontal="center"/>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0" fillId="0" borderId="14" xfId="0" applyBorder="1" applyAlignment="1">
      <alignment horizontal="left" vertical="center" wrapText="1"/>
    </xf>
    <xf numFmtId="0" fontId="0" fillId="0" borderId="22" xfId="0" applyBorder="1" applyAlignment="1">
      <alignment horizontal="left" vertical="center"/>
    </xf>
    <xf numFmtId="0" fontId="0" fillId="0" borderId="23" xfId="0" applyBorder="1" applyAlignment="1">
      <alignment horizontal="left" vertical="center"/>
    </xf>
    <xf numFmtId="0" fontId="0" fillId="0" borderId="9" xfId="0" applyBorder="1" applyAlignment="1">
      <alignment horizontal="left" vertical="center"/>
    </xf>
    <xf numFmtId="0" fontId="0" fillId="0" borderId="0"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2" borderId="10" xfId="0" applyFill="1" applyBorder="1" applyAlignment="1">
      <alignment horizontal="center" vertical="top" wrapText="1"/>
    </xf>
    <xf numFmtId="0" fontId="0" fillId="2" borderId="11" xfId="0" applyFill="1" applyBorder="1" applyAlignment="1">
      <alignment horizontal="center" vertical="top" wrapText="1"/>
    </xf>
    <xf numFmtId="0" fontId="0" fillId="2" borderId="12" xfId="0" applyFill="1" applyBorder="1" applyAlignment="1">
      <alignment horizontal="center" vertical="top" wrapText="1"/>
    </xf>
    <xf numFmtId="0" fontId="0" fillId="0" borderId="10" xfId="0" applyFill="1" applyBorder="1" applyAlignment="1">
      <alignment horizontal="center" vertical="top" wrapText="1"/>
    </xf>
    <xf numFmtId="0" fontId="0" fillId="0" borderId="11" xfId="0" applyFill="1" applyBorder="1" applyAlignment="1">
      <alignment horizontal="center" vertical="top" wrapText="1"/>
    </xf>
    <xf numFmtId="0" fontId="0" fillId="0" borderId="12" xfId="0" applyFill="1" applyBorder="1" applyAlignment="1">
      <alignment horizontal="center" vertical="top" wrapText="1"/>
    </xf>
    <xf numFmtId="0" fontId="12" fillId="0" borderId="10" xfId="0" applyFont="1"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16" fillId="9" borderId="3" xfId="0" applyFont="1" applyFill="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xf>
    <xf numFmtId="0" fontId="0" fillId="0" borderId="3" xfId="0" applyBorder="1" applyAlignment="1">
      <alignment horizontal="center" vertical="top"/>
    </xf>
    <xf numFmtId="0" fontId="0" fillId="9" borderId="10" xfId="0" applyFill="1" applyBorder="1" applyAlignment="1" applyProtection="1">
      <alignment horizontal="center"/>
    </xf>
    <xf numFmtId="0" fontId="0" fillId="9" borderId="20" xfId="0" applyFill="1" applyBorder="1" applyAlignment="1" applyProtection="1">
      <alignment horizontal="center"/>
    </xf>
    <xf numFmtId="0" fontId="0" fillId="9" borderId="35" xfId="0" applyFill="1" applyBorder="1" applyAlignment="1" applyProtection="1">
      <alignment horizontal="center"/>
    </xf>
    <xf numFmtId="0" fontId="0" fillId="9" borderId="36" xfId="0" applyFill="1" applyBorder="1" applyAlignment="1" applyProtection="1">
      <alignment horizontal="center"/>
    </xf>
    <xf numFmtId="0" fontId="0" fillId="9" borderId="5" xfId="0" applyFill="1" applyBorder="1" applyAlignment="1" applyProtection="1">
      <alignment horizontal="center"/>
    </xf>
    <xf numFmtId="0" fontId="0" fillId="9" borderId="3" xfId="0" applyFill="1" applyBorder="1" applyAlignment="1" applyProtection="1">
      <alignment horizontal="center"/>
    </xf>
    <xf numFmtId="0" fontId="0" fillId="9" borderId="15" xfId="0" applyFill="1" applyBorder="1" applyAlignment="1" applyProtection="1">
      <alignment horizontal="center"/>
    </xf>
    <xf numFmtId="0" fontId="0" fillId="0" borderId="3" xfId="0" applyFill="1" applyBorder="1" applyAlignment="1" applyProtection="1">
      <alignment horizontal="center" wrapText="1"/>
      <protection locked="0"/>
    </xf>
    <xf numFmtId="169" fontId="0" fillId="0" borderId="31" xfId="0" applyNumberFormat="1" applyBorder="1" applyAlignment="1" applyProtection="1">
      <alignment horizontal="center" vertical="center"/>
    </xf>
    <xf numFmtId="0" fontId="15" fillId="0" borderId="0" xfId="0" applyFont="1" applyAlignment="1" applyProtection="1">
      <alignment horizontal="center" vertical="center"/>
    </xf>
    <xf numFmtId="169" fontId="0" fillId="0" borderId="32" xfId="0" applyNumberFormat="1" applyBorder="1" applyAlignment="1" applyProtection="1">
      <alignment horizontal="center" vertical="center"/>
    </xf>
    <xf numFmtId="0" fontId="0" fillId="2" borderId="3" xfId="0" applyFill="1" applyBorder="1" applyAlignment="1" applyProtection="1">
      <alignment horizontal="center" vertical="center" wrapText="1"/>
    </xf>
    <xf numFmtId="0" fontId="11" fillId="9" borderId="3" xfId="0" applyFont="1" applyFill="1" applyBorder="1" applyAlignment="1" applyProtection="1">
      <alignment horizontal="center"/>
    </xf>
    <xf numFmtId="0" fontId="11" fillId="9" borderId="33" xfId="0" applyFont="1" applyFill="1" applyBorder="1" applyAlignment="1" applyProtection="1">
      <alignment horizontal="center"/>
    </xf>
    <xf numFmtId="0" fontId="0" fillId="2" borderId="3" xfId="0" applyFill="1" applyBorder="1" applyAlignment="1" applyProtection="1">
      <alignment horizontal="center" vertical="center"/>
    </xf>
    <xf numFmtId="0" fontId="0" fillId="9" borderId="41" xfId="0" applyFill="1" applyBorder="1" applyAlignment="1" applyProtection="1">
      <alignment horizontal="center" vertical="center" wrapText="1"/>
    </xf>
    <xf numFmtId="0" fontId="0" fillId="9" borderId="20" xfId="0" applyFill="1" applyBorder="1" applyAlignment="1" applyProtection="1">
      <alignment horizontal="center" vertical="center" wrapText="1"/>
    </xf>
    <xf numFmtId="0" fontId="0" fillId="9" borderId="11" xfId="0" applyFill="1" applyBorder="1" applyAlignment="1" applyProtection="1">
      <alignment horizontal="center" vertical="center"/>
    </xf>
    <xf numFmtId="0" fontId="0" fillId="9" borderId="20" xfId="0" applyFill="1" applyBorder="1" applyAlignment="1" applyProtection="1">
      <alignment horizontal="center" vertical="center"/>
    </xf>
    <xf numFmtId="0" fontId="0" fillId="9" borderId="10" xfId="0" applyFill="1" applyBorder="1" applyAlignment="1" applyProtection="1">
      <alignment horizontal="center" vertical="center"/>
    </xf>
    <xf numFmtId="0" fontId="0" fillId="2" borderId="3" xfId="0" applyFill="1" applyBorder="1" applyAlignment="1" applyProtection="1">
      <alignment horizontal="left" vertical="center"/>
    </xf>
    <xf numFmtId="0" fontId="3" fillId="2" borderId="3" xfId="0" applyFont="1" applyFill="1" applyBorder="1" applyAlignment="1" applyProtection="1">
      <alignment horizontal="right" vertical="center"/>
    </xf>
    <xf numFmtId="0" fontId="0" fillId="2" borderId="3" xfId="0" applyFill="1" applyBorder="1" applyAlignment="1" applyProtection="1">
      <alignment horizontal="center"/>
    </xf>
    <xf numFmtId="170" fontId="0" fillId="0" borderId="0" xfId="0" applyNumberFormat="1" applyAlignment="1" applyProtection="1">
      <alignment horizontal="right" vertical="center"/>
    </xf>
    <xf numFmtId="0" fontId="0" fillId="0" borderId="0" xfId="0" applyAlignment="1" applyProtection="1">
      <alignment horizontal="center"/>
      <protection locked="0"/>
    </xf>
    <xf numFmtId="0" fontId="0" fillId="0" borderId="0" xfId="0" applyFill="1" applyBorder="1" applyAlignment="1" applyProtection="1">
      <alignment horizontal="center"/>
      <protection locked="0"/>
    </xf>
    <xf numFmtId="0" fontId="0" fillId="0" borderId="0" xfId="0" applyFill="1" applyBorder="1" applyAlignment="1" applyProtection="1">
      <alignment horizontal="center" vertical="center"/>
      <protection locked="0"/>
    </xf>
    <xf numFmtId="169" fontId="0" fillId="0" borderId="29" xfId="0" applyNumberFormat="1" applyBorder="1" applyAlignment="1" applyProtection="1">
      <alignment horizontal="center" vertical="center"/>
    </xf>
    <xf numFmtId="0" fontId="0" fillId="0" borderId="0" xfId="0" applyAlignment="1" applyProtection="1">
      <alignment horizontal="center" vertical="center"/>
    </xf>
    <xf numFmtId="0" fontId="0" fillId="0" borderId="31" xfId="0" applyBorder="1" applyAlignment="1" applyProtection="1">
      <alignment horizontal="center" vertical="center"/>
    </xf>
    <xf numFmtId="43" fontId="18" fillId="0" borderId="3" xfId="1" applyFont="1" applyBorder="1" applyAlignment="1" applyProtection="1">
      <alignment horizontal="center" vertical="center" wrapText="1"/>
      <protection locked="0"/>
    </xf>
    <xf numFmtId="43" fontId="18" fillId="0" borderId="3" xfId="1" applyFont="1" applyBorder="1" applyAlignment="1" applyProtection="1">
      <alignment horizontal="center" vertical="center"/>
      <protection locked="0"/>
    </xf>
    <xf numFmtId="43" fontId="0" fillId="2" borderId="3" xfId="1" applyFont="1" applyFill="1" applyBorder="1" applyAlignment="1" applyProtection="1">
      <alignment horizontal="center"/>
    </xf>
    <xf numFmtId="43" fontId="0" fillId="2" borderId="3" xfId="1" applyFont="1" applyFill="1" applyBorder="1" applyAlignment="1" applyProtection="1">
      <alignment horizontal="center" vertical="center"/>
    </xf>
    <xf numFmtId="43" fontId="0" fillId="10" borderId="3" xfId="1" applyFont="1" applyFill="1" applyBorder="1" applyAlignment="1" applyProtection="1">
      <alignment horizontal="center"/>
    </xf>
    <xf numFmtId="0" fontId="0" fillId="0" borderId="6" xfId="0" applyBorder="1" applyAlignment="1">
      <alignment horizontal="left"/>
    </xf>
    <xf numFmtId="0" fontId="0" fillId="0" borderId="2" xfId="0" applyBorder="1" applyAlignment="1">
      <alignment horizontal="left"/>
    </xf>
    <xf numFmtId="0" fontId="0" fillId="0" borderId="5" xfId="0" applyBorder="1" applyAlignment="1">
      <alignment horizontal="left"/>
    </xf>
    <xf numFmtId="0" fontId="0" fillId="2" borderId="3" xfId="0" applyFill="1" applyBorder="1" applyAlignment="1">
      <alignment horizontal="center" vertical="center" wrapText="1"/>
    </xf>
    <xf numFmtId="0" fontId="0" fillId="0" borderId="3" xfId="0" applyBorder="1" applyAlignment="1">
      <alignment horizontal="left"/>
    </xf>
    <xf numFmtId="0" fontId="0" fillId="2" borderId="3" xfId="0" applyFill="1" applyBorder="1" applyAlignment="1">
      <alignment horizontal="center" vertical="center"/>
    </xf>
    <xf numFmtId="2" fontId="0" fillId="0" borderId="3" xfId="0" applyNumberFormat="1" applyBorder="1" applyAlignment="1">
      <alignment horizontal="center"/>
    </xf>
    <xf numFmtId="0" fontId="0" fillId="0" borderId="1" xfId="0" applyBorder="1" applyAlignment="1">
      <alignment horizontal="center"/>
    </xf>
    <xf numFmtId="0" fontId="0" fillId="0" borderId="4" xfId="0" applyBorder="1" applyAlignment="1">
      <alignment horizontal="center"/>
    </xf>
    <xf numFmtId="0" fontId="0" fillId="6" borderId="3" xfId="0" applyFill="1" applyBorder="1" applyAlignment="1">
      <alignment horizontal="left"/>
    </xf>
    <xf numFmtId="0" fontId="0" fillId="0" borderId="2" xfId="0" applyBorder="1" applyAlignment="1">
      <alignment horizontal="center"/>
    </xf>
    <xf numFmtId="0" fontId="0" fillId="0" borderId="5" xfId="0" applyBorder="1" applyAlignment="1">
      <alignment horizontal="center"/>
    </xf>
    <xf numFmtId="0" fontId="0" fillId="2" borderId="6" xfId="0" applyFill="1" applyBorder="1" applyAlignment="1">
      <alignment horizontal="center" wrapText="1"/>
    </xf>
    <xf numFmtId="0" fontId="0" fillId="2" borderId="2" xfId="0" applyFill="1" applyBorder="1" applyAlignment="1">
      <alignment horizontal="center" wrapText="1"/>
    </xf>
    <xf numFmtId="0" fontId="0" fillId="2" borderId="6" xfId="0" applyFill="1" applyBorder="1" applyAlignment="1">
      <alignment horizontal="center"/>
    </xf>
    <xf numFmtId="0" fontId="0" fillId="2" borderId="2" xfId="0" applyFill="1" applyBorder="1" applyAlignment="1">
      <alignment horizontal="center"/>
    </xf>
    <xf numFmtId="0" fontId="0" fillId="4" borderId="6" xfId="0" applyFill="1" applyBorder="1" applyAlignment="1">
      <alignment horizontal="left"/>
    </xf>
    <xf numFmtId="0" fontId="0" fillId="4" borderId="2" xfId="0" applyFill="1" applyBorder="1" applyAlignment="1">
      <alignment horizontal="left"/>
    </xf>
    <xf numFmtId="0" fontId="0" fillId="4" borderId="5" xfId="0" applyFill="1" applyBorder="1" applyAlignment="1">
      <alignment horizontal="left"/>
    </xf>
    <xf numFmtId="0" fontId="0" fillId="0" borderId="6" xfId="0" applyBorder="1" applyAlignment="1">
      <alignment horizontal="center"/>
    </xf>
    <xf numFmtId="0" fontId="0" fillId="5" borderId="6" xfId="0" applyFill="1" applyBorder="1" applyAlignment="1">
      <alignment horizontal="left"/>
    </xf>
    <xf numFmtId="0" fontId="0" fillId="5" borderId="2" xfId="0" applyFill="1" applyBorder="1" applyAlignment="1">
      <alignment horizontal="left"/>
    </xf>
    <xf numFmtId="0" fontId="0" fillId="5" borderId="5" xfId="0" applyFill="1" applyBorder="1" applyAlignment="1">
      <alignment horizontal="left"/>
    </xf>
    <xf numFmtId="0" fontId="0" fillId="3" borderId="3" xfId="0" applyFill="1" applyBorder="1" applyAlignment="1">
      <alignment horizontal="left"/>
    </xf>
    <xf numFmtId="0" fontId="0" fillId="0" borderId="16" xfId="0" applyBorder="1" applyAlignment="1" applyProtection="1">
      <protection locked="0"/>
    </xf>
    <xf numFmtId="0" fontId="0" fillId="0" borderId="32" xfId="0" applyFill="1" applyBorder="1" applyAlignment="1" applyProtection="1">
      <alignment horizontal="center" wrapText="1"/>
      <protection locked="0"/>
    </xf>
    <xf numFmtId="0" fontId="0" fillId="0" borderId="29" xfId="0" applyFill="1" applyBorder="1" applyAlignment="1" applyProtection="1">
      <alignment horizontal="center" wrapText="1"/>
      <protection locked="0"/>
    </xf>
    <xf numFmtId="0" fontId="0" fillId="0" borderId="42" xfId="0" applyFill="1" applyBorder="1" applyAlignment="1" applyProtection="1">
      <alignment horizontal="center" wrapText="1"/>
      <protection locked="0"/>
    </xf>
    <xf numFmtId="0" fontId="0" fillId="0" borderId="43" xfId="0" applyFill="1" applyBorder="1" applyAlignment="1" applyProtection="1">
      <alignment horizontal="center" wrapText="1"/>
      <protection locked="0"/>
    </xf>
    <xf numFmtId="0" fontId="0" fillId="0" borderId="1" xfId="0" applyFill="1" applyBorder="1" applyAlignment="1" applyProtection="1">
      <alignment horizontal="center" wrapText="1"/>
      <protection locked="0"/>
    </xf>
    <xf numFmtId="0" fontId="0" fillId="0" borderId="4" xfId="0" applyFill="1" applyBorder="1" applyAlignment="1" applyProtection="1">
      <alignment horizontal="center" wrapText="1"/>
      <protection locked="0"/>
    </xf>
    <xf numFmtId="165" fontId="0" fillId="0" borderId="44" xfId="0" applyNumberFormat="1" applyBorder="1" applyProtection="1"/>
    <xf numFmtId="0" fontId="0" fillId="0" borderId="45" xfId="0" applyBorder="1" applyProtection="1"/>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9" Type="http://schemas.openxmlformats.org/officeDocument/2006/relationships/image" Target="../media/image3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10</xdr:col>
      <xdr:colOff>24010</xdr:colOff>
      <xdr:row>1</xdr:row>
      <xdr:rowOff>742212</xdr:rowOff>
    </xdr:from>
    <xdr:to>
      <xdr:col>11</xdr:col>
      <xdr:colOff>676371</xdr:colOff>
      <xdr:row>1</xdr:row>
      <xdr:rowOff>1231160</xdr:rowOff>
    </xdr:to>
    <xdr:pic>
      <xdr:nvPicPr>
        <xdr:cNvPr id="2" name="Imagen 1" descr="Identidad visual corporativa | UPV - Universitat Politècnica de València">
          <a:extLst>
            <a:ext uri="{FF2B5EF4-FFF2-40B4-BE49-F238E27FC236}">
              <a16:creationId xmlns:a16="http://schemas.microsoft.com/office/drawing/2014/main" id="{B1B97E61-636E-46E9-845E-3C4289CDD28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889" t="9076" r="5587" b="8381"/>
        <a:stretch/>
      </xdr:blipFill>
      <xdr:spPr bwMode="auto">
        <a:xfrm>
          <a:off x="7339210" y="931398"/>
          <a:ext cx="1436927" cy="48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700793</xdr:colOff>
      <xdr:row>1</xdr:row>
      <xdr:rowOff>725214</xdr:rowOff>
    </xdr:from>
    <xdr:to>
      <xdr:col>13</xdr:col>
      <xdr:colOff>767359</xdr:colOff>
      <xdr:row>1</xdr:row>
      <xdr:rowOff>1202120</xdr:rowOff>
    </xdr:to>
    <xdr:pic>
      <xdr:nvPicPr>
        <xdr:cNvPr id="3" name="Imagen 2" descr="03_Normativa reconocimiento estudios cursados en programas de  intercambio_borrador">
          <a:extLst>
            <a:ext uri="{FF2B5EF4-FFF2-40B4-BE49-F238E27FC236}">
              <a16:creationId xmlns:a16="http://schemas.microsoft.com/office/drawing/2014/main" id="{B9742335-1507-440E-A4FE-1AE1F138E5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09524" y="914400"/>
          <a:ext cx="1653628" cy="47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319498</xdr:colOff>
      <xdr:row>5</xdr:row>
      <xdr:rowOff>26503</xdr:rowOff>
    </xdr:from>
    <xdr:to>
      <xdr:col>9</xdr:col>
      <xdr:colOff>490330</xdr:colOff>
      <xdr:row>16</xdr:row>
      <xdr:rowOff>2650</xdr:rowOff>
    </xdr:to>
    <xdr:pic>
      <xdr:nvPicPr>
        <xdr:cNvPr id="2" name="Imagen 1">
          <a:extLst>
            <a:ext uri="{FF2B5EF4-FFF2-40B4-BE49-F238E27FC236}">
              <a16:creationId xmlns:a16="http://schemas.microsoft.com/office/drawing/2014/main" id="{B4C9C6D3-2A06-417F-8890-3F5F3F178706}"/>
            </a:ext>
          </a:extLst>
        </xdr:cNvPr>
        <xdr:cNvPicPr>
          <a:picLocks noChangeAspect="1"/>
        </xdr:cNvPicPr>
      </xdr:nvPicPr>
      <xdr:blipFill>
        <a:blip xmlns:r="http://schemas.openxmlformats.org/officeDocument/2006/relationships" r:embed="rId1"/>
        <a:stretch>
          <a:fillRect/>
        </a:stretch>
      </xdr:blipFill>
      <xdr:spPr>
        <a:xfrm>
          <a:off x="763446" y="2126973"/>
          <a:ext cx="6531875" cy="2016981"/>
        </a:xfrm>
        <a:prstGeom prst="rect">
          <a:avLst/>
        </a:prstGeom>
      </xdr:spPr>
    </xdr:pic>
    <xdr:clientData/>
  </xdr:twoCellAnchor>
  <xdr:twoCellAnchor editAs="oneCell">
    <xdr:from>
      <xdr:col>3</xdr:col>
      <xdr:colOff>323178</xdr:colOff>
      <xdr:row>17</xdr:row>
      <xdr:rowOff>65890</xdr:rowOff>
    </xdr:from>
    <xdr:to>
      <xdr:col>7</xdr:col>
      <xdr:colOff>520402</xdr:colOff>
      <xdr:row>30</xdr:row>
      <xdr:rowOff>110597</xdr:rowOff>
    </xdr:to>
    <xdr:pic>
      <xdr:nvPicPr>
        <xdr:cNvPr id="3" name="Imagen 2">
          <a:extLst>
            <a:ext uri="{FF2B5EF4-FFF2-40B4-BE49-F238E27FC236}">
              <a16:creationId xmlns:a16="http://schemas.microsoft.com/office/drawing/2014/main" id="{C4A7C449-15DA-4D50-85AD-CC8F5D0663F0}"/>
            </a:ext>
          </a:extLst>
        </xdr:cNvPr>
        <xdr:cNvPicPr>
          <a:picLocks noChangeAspect="1"/>
        </xdr:cNvPicPr>
      </xdr:nvPicPr>
      <xdr:blipFill>
        <a:blip xmlns:r="http://schemas.openxmlformats.org/officeDocument/2006/relationships" r:embed="rId2"/>
        <a:stretch>
          <a:fillRect/>
        </a:stretch>
      </xdr:blipFill>
      <xdr:spPr>
        <a:xfrm>
          <a:off x="2350098" y="4348330"/>
          <a:ext cx="3367144" cy="2422147"/>
        </a:xfrm>
        <a:prstGeom prst="rect">
          <a:avLst/>
        </a:prstGeom>
      </xdr:spPr>
    </xdr:pic>
    <xdr:clientData/>
  </xdr:twoCellAnchor>
  <xdr:twoCellAnchor editAs="oneCell">
    <xdr:from>
      <xdr:col>1</xdr:col>
      <xdr:colOff>268942</xdr:colOff>
      <xdr:row>40</xdr:row>
      <xdr:rowOff>161364</xdr:rowOff>
    </xdr:from>
    <xdr:to>
      <xdr:col>9</xdr:col>
      <xdr:colOff>493059</xdr:colOff>
      <xdr:row>45</xdr:row>
      <xdr:rowOff>158221</xdr:rowOff>
    </xdr:to>
    <xdr:pic>
      <xdr:nvPicPr>
        <xdr:cNvPr id="4" name="Imagen 3">
          <a:extLst>
            <a:ext uri="{FF2B5EF4-FFF2-40B4-BE49-F238E27FC236}">
              <a16:creationId xmlns:a16="http://schemas.microsoft.com/office/drawing/2014/main" id="{753DF707-511E-4BFF-9221-97F98DAD65A7}"/>
            </a:ext>
          </a:extLst>
        </xdr:cNvPr>
        <xdr:cNvPicPr>
          <a:picLocks noChangeAspect="1"/>
        </xdr:cNvPicPr>
      </xdr:nvPicPr>
      <xdr:blipFill>
        <a:blip xmlns:r="http://schemas.openxmlformats.org/officeDocument/2006/relationships" r:embed="rId3"/>
        <a:stretch>
          <a:fillRect/>
        </a:stretch>
      </xdr:blipFill>
      <xdr:spPr>
        <a:xfrm>
          <a:off x="708213" y="7073152"/>
          <a:ext cx="6535270" cy="893327"/>
        </a:xfrm>
        <a:prstGeom prst="rect">
          <a:avLst/>
        </a:prstGeom>
      </xdr:spPr>
    </xdr:pic>
    <xdr:clientData/>
  </xdr:twoCellAnchor>
  <xdr:twoCellAnchor editAs="oneCell">
    <xdr:from>
      <xdr:col>1</xdr:col>
      <xdr:colOff>185057</xdr:colOff>
      <xdr:row>50</xdr:row>
      <xdr:rowOff>54430</xdr:rowOff>
    </xdr:from>
    <xdr:to>
      <xdr:col>9</xdr:col>
      <xdr:colOff>424543</xdr:colOff>
      <xdr:row>52</xdr:row>
      <xdr:rowOff>170122</xdr:rowOff>
    </xdr:to>
    <xdr:pic>
      <xdr:nvPicPr>
        <xdr:cNvPr id="5" name="Imagen 4">
          <a:extLst>
            <a:ext uri="{FF2B5EF4-FFF2-40B4-BE49-F238E27FC236}">
              <a16:creationId xmlns:a16="http://schemas.microsoft.com/office/drawing/2014/main" id="{173DB157-3A1C-4075-999C-F1BC6BD3485A}"/>
            </a:ext>
          </a:extLst>
        </xdr:cNvPr>
        <xdr:cNvPicPr>
          <a:picLocks noChangeAspect="1"/>
        </xdr:cNvPicPr>
      </xdr:nvPicPr>
      <xdr:blipFill>
        <a:blip xmlns:r="http://schemas.openxmlformats.org/officeDocument/2006/relationships" r:embed="rId4"/>
        <a:stretch>
          <a:fillRect/>
        </a:stretch>
      </xdr:blipFill>
      <xdr:spPr>
        <a:xfrm>
          <a:off x="631371" y="9220201"/>
          <a:ext cx="6596743" cy="485806"/>
        </a:xfrm>
        <a:prstGeom prst="rect">
          <a:avLst/>
        </a:prstGeom>
      </xdr:spPr>
    </xdr:pic>
    <xdr:clientData/>
  </xdr:twoCellAnchor>
  <xdr:twoCellAnchor editAs="oneCell">
    <xdr:from>
      <xdr:col>1</xdr:col>
      <xdr:colOff>429277</xdr:colOff>
      <xdr:row>32</xdr:row>
      <xdr:rowOff>55375</xdr:rowOff>
    </xdr:from>
    <xdr:to>
      <xdr:col>6</xdr:col>
      <xdr:colOff>489857</xdr:colOff>
      <xdr:row>38</xdr:row>
      <xdr:rowOff>106997</xdr:rowOff>
    </xdr:to>
    <xdr:pic>
      <xdr:nvPicPr>
        <xdr:cNvPr id="6" name="Imagen 5">
          <a:extLst>
            <a:ext uri="{FF2B5EF4-FFF2-40B4-BE49-F238E27FC236}">
              <a16:creationId xmlns:a16="http://schemas.microsoft.com/office/drawing/2014/main" id="{7718AD12-EACD-427E-A08A-EC2A13672E6A}"/>
            </a:ext>
          </a:extLst>
        </xdr:cNvPr>
        <xdr:cNvPicPr>
          <a:picLocks noChangeAspect="1"/>
        </xdr:cNvPicPr>
      </xdr:nvPicPr>
      <xdr:blipFill>
        <a:blip xmlns:r="http://schemas.openxmlformats.org/officeDocument/2006/relationships" r:embed="rId5"/>
        <a:stretch>
          <a:fillRect/>
        </a:stretch>
      </xdr:blipFill>
      <xdr:spPr>
        <a:xfrm>
          <a:off x="875591" y="7370575"/>
          <a:ext cx="4033866" cy="1161965"/>
        </a:xfrm>
        <a:prstGeom prst="rect">
          <a:avLst/>
        </a:prstGeom>
      </xdr:spPr>
    </xdr:pic>
    <xdr:clientData/>
  </xdr:twoCellAnchor>
  <xdr:twoCellAnchor editAs="oneCell">
    <xdr:from>
      <xdr:col>11</xdr:col>
      <xdr:colOff>65313</xdr:colOff>
      <xdr:row>5</xdr:row>
      <xdr:rowOff>119743</xdr:rowOff>
    </xdr:from>
    <xdr:to>
      <xdr:col>19</xdr:col>
      <xdr:colOff>701808</xdr:colOff>
      <xdr:row>15</xdr:row>
      <xdr:rowOff>76200</xdr:rowOff>
    </xdr:to>
    <xdr:pic>
      <xdr:nvPicPr>
        <xdr:cNvPr id="12" name="Imagen 11">
          <a:extLst>
            <a:ext uri="{FF2B5EF4-FFF2-40B4-BE49-F238E27FC236}">
              <a16:creationId xmlns:a16="http://schemas.microsoft.com/office/drawing/2014/main" id="{2C1C5138-0A48-4388-A0A9-65220AB5DA9C}"/>
            </a:ext>
          </a:extLst>
        </xdr:cNvPr>
        <xdr:cNvPicPr>
          <a:picLocks noChangeAspect="1"/>
        </xdr:cNvPicPr>
      </xdr:nvPicPr>
      <xdr:blipFill>
        <a:blip xmlns:r="http://schemas.openxmlformats.org/officeDocument/2006/relationships" r:embed="rId6"/>
        <a:stretch>
          <a:fillRect/>
        </a:stretch>
      </xdr:blipFill>
      <xdr:spPr>
        <a:xfrm>
          <a:off x="8458199" y="2438400"/>
          <a:ext cx="6993752" cy="1807029"/>
        </a:xfrm>
        <a:prstGeom prst="rect">
          <a:avLst/>
        </a:prstGeom>
      </xdr:spPr>
    </xdr:pic>
    <xdr:clientData/>
  </xdr:twoCellAnchor>
  <xdr:twoCellAnchor editAs="oneCell">
    <xdr:from>
      <xdr:col>11</xdr:col>
      <xdr:colOff>108857</xdr:colOff>
      <xdr:row>19</xdr:row>
      <xdr:rowOff>21772</xdr:rowOff>
    </xdr:from>
    <xdr:to>
      <xdr:col>16</xdr:col>
      <xdr:colOff>217714</xdr:colOff>
      <xdr:row>29</xdr:row>
      <xdr:rowOff>98878</xdr:rowOff>
    </xdr:to>
    <xdr:pic>
      <xdr:nvPicPr>
        <xdr:cNvPr id="13" name="Imagen 12">
          <a:extLst>
            <a:ext uri="{FF2B5EF4-FFF2-40B4-BE49-F238E27FC236}">
              <a16:creationId xmlns:a16="http://schemas.microsoft.com/office/drawing/2014/main" id="{0DFA1CA5-B371-4033-B1C5-65D1A0686FE8}"/>
            </a:ext>
          </a:extLst>
        </xdr:cNvPr>
        <xdr:cNvPicPr>
          <a:picLocks noChangeAspect="1"/>
        </xdr:cNvPicPr>
      </xdr:nvPicPr>
      <xdr:blipFill>
        <a:blip xmlns:r="http://schemas.openxmlformats.org/officeDocument/2006/relationships" r:embed="rId7"/>
        <a:stretch>
          <a:fillRect/>
        </a:stretch>
      </xdr:blipFill>
      <xdr:spPr>
        <a:xfrm>
          <a:off x="8501743" y="4931229"/>
          <a:ext cx="4082142" cy="1927678"/>
        </a:xfrm>
        <a:prstGeom prst="rect">
          <a:avLst/>
        </a:prstGeom>
      </xdr:spPr>
    </xdr:pic>
    <xdr:clientData/>
  </xdr:twoCellAnchor>
  <xdr:twoCellAnchor editAs="oneCell">
    <xdr:from>
      <xdr:col>16</xdr:col>
      <xdr:colOff>202863</xdr:colOff>
      <xdr:row>18</xdr:row>
      <xdr:rowOff>87086</xdr:rowOff>
    </xdr:from>
    <xdr:to>
      <xdr:col>19</xdr:col>
      <xdr:colOff>638068</xdr:colOff>
      <xdr:row>29</xdr:row>
      <xdr:rowOff>108856</xdr:rowOff>
    </xdr:to>
    <xdr:pic>
      <xdr:nvPicPr>
        <xdr:cNvPr id="14" name="Imagen 13">
          <a:extLst>
            <a:ext uri="{FF2B5EF4-FFF2-40B4-BE49-F238E27FC236}">
              <a16:creationId xmlns:a16="http://schemas.microsoft.com/office/drawing/2014/main" id="{33BBDBD2-BB5F-4DB7-B4BE-EDE0BCD61CBE}"/>
            </a:ext>
          </a:extLst>
        </xdr:cNvPr>
        <xdr:cNvPicPr>
          <a:picLocks noChangeAspect="1"/>
        </xdr:cNvPicPr>
      </xdr:nvPicPr>
      <xdr:blipFill>
        <a:blip xmlns:r="http://schemas.openxmlformats.org/officeDocument/2006/relationships" r:embed="rId8"/>
        <a:stretch>
          <a:fillRect/>
        </a:stretch>
      </xdr:blipFill>
      <xdr:spPr>
        <a:xfrm>
          <a:off x="12569034" y="4811486"/>
          <a:ext cx="2819177" cy="2057399"/>
        </a:xfrm>
        <a:prstGeom prst="rect">
          <a:avLst/>
        </a:prstGeom>
      </xdr:spPr>
    </xdr:pic>
    <xdr:clientData/>
  </xdr:twoCellAnchor>
  <xdr:twoCellAnchor editAs="oneCell">
    <xdr:from>
      <xdr:col>21</xdr:col>
      <xdr:colOff>190500</xdr:colOff>
      <xdr:row>5</xdr:row>
      <xdr:rowOff>76200</xdr:rowOff>
    </xdr:from>
    <xdr:to>
      <xdr:col>29</xdr:col>
      <xdr:colOff>438150</xdr:colOff>
      <xdr:row>15</xdr:row>
      <xdr:rowOff>54765</xdr:rowOff>
    </xdr:to>
    <xdr:pic>
      <xdr:nvPicPr>
        <xdr:cNvPr id="20" name="Imagen 19">
          <a:extLst>
            <a:ext uri="{FF2B5EF4-FFF2-40B4-BE49-F238E27FC236}">
              <a16:creationId xmlns:a16="http://schemas.microsoft.com/office/drawing/2014/main" id="{29830136-1514-4F0B-82B3-7CE8863A9F0C}"/>
            </a:ext>
          </a:extLst>
        </xdr:cNvPr>
        <xdr:cNvPicPr>
          <a:picLocks noChangeAspect="1"/>
        </xdr:cNvPicPr>
      </xdr:nvPicPr>
      <xdr:blipFill>
        <a:blip xmlns:r="http://schemas.openxmlformats.org/officeDocument/2006/relationships" r:embed="rId9"/>
        <a:stretch>
          <a:fillRect/>
        </a:stretch>
      </xdr:blipFill>
      <xdr:spPr>
        <a:xfrm>
          <a:off x="16630650" y="2400300"/>
          <a:ext cx="6648450" cy="1883565"/>
        </a:xfrm>
        <a:prstGeom prst="rect">
          <a:avLst/>
        </a:prstGeom>
      </xdr:spPr>
    </xdr:pic>
    <xdr:clientData/>
  </xdr:twoCellAnchor>
  <xdr:twoCellAnchor editAs="oneCell">
    <xdr:from>
      <xdr:col>21</xdr:col>
      <xdr:colOff>63530</xdr:colOff>
      <xdr:row>33</xdr:row>
      <xdr:rowOff>96982</xdr:rowOff>
    </xdr:from>
    <xdr:to>
      <xdr:col>29</xdr:col>
      <xdr:colOff>541481</xdr:colOff>
      <xdr:row>46</xdr:row>
      <xdr:rowOff>13855</xdr:rowOff>
    </xdr:to>
    <xdr:pic>
      <xdr:nvPicPr>
        <xdr:cNvPr id="21" name="Imagen 20">
          <a:extLst>
            <a:ext uri="{FF2B5EF4-FFF2-40B4-BE49-F238E27FC236}">
              <a16:creationId xmlns:a16="http://schemas.microsoft.com/office/drawing/2014/main" id="{E9D5B43E-A16E-485F-BF84-A5AC25E63C64}"/>
            </a:ext>
          </a:extLst>
        </xdr:cNvPr>
        <xdr:cNvPicPr>
          <a:picLocks noChangeAspect="1"/>
        </xdr:cNvPicPr>
      </xdr:nvPicPr>
      <xdr:blipFill>
        <a:blip xmlns:r="http://schemas.openxmlformats.org/officeDocument/2006/relationships" r:embed="rId10"/>
        <a:stretch>
          <a:fillRect/>
        </a:stretch>
      </xdr:blipFill>
      <xdr:spPr>
        <a:xfrm>
          <a:off x="16301057" y="7439891"/>
          <a:ext cx="6795624" cy="2258291"/>
        </a:xfrm>
        <a:prstGeom prst="rect">
          <a:avLst/>
        </a:prstGeom>
      </xdr:spPr>
    </xdr:pic>
    <xdr:clientData/>
  </xdr:twoCellAnchor>
  <xdr:twoCellAnchor editAs="oneCell">
    <xdr:from>
      <xdr:col>23</xdr:col>
      <xdr:colOff>748145</xdr:colOff>
      <xdr:row>17</xdr:row>
      <xdr:rowOff>93779</xdr:rowOff>
    </xdr:from>
    <xdr:to>
      <xdr:col>26</xdr:col>
      <xdr:colOff>606918</xdr:colOff>
      <xdr:row>30</xdr:row>
      <xdr:rowOff>83126</xdr:rowOff>
    </xdr:to>
    <xdr:pic>
      <xdr:nvPicPr>
        <xdr:cNvPr id="22" name="Imagen 21">
          <a:extLst>
            <a:ext uri="{FF2B5EF4-FFF2-40B4-BE49-F238E27FC236}">
              <a16:creationId xmlns:a16="http://schemas.microsoft.com/office/drawing/2014/main" id="{1773E358-5756-49FB-B5DB-AFCCDA509498}"/>
            </a:ext>
          </a:extLst>
        </xdr:cNvPr>
        <xdr:cNvPicPr>
          <a:picLocks noChangeAspect="1"/>
        </xdr:cNvPicPr>
      </xdr:nvPicPr>
      <xdr:blipFill>
        <a:blip xmlns:r="http://schemas.openxmlformats.org/officeDocument/2006/relationships" r:embed="rId11"/>
        <a:stretch>
          <a:fillRect/>
        </a:stretch>
      </xdr:blipFill>
      <xdr:spPr>
        <a:xfrm>
          <a:off x="18565090" y="4554943"/>
          <a:ext cx="2227901" cy="2330765"/>
        </a:xfrm>
        <a:prstGeom prst="rect">
          <a:avLst/>
        </a:prstGeom>
      </xdr:spPr>
    </xdr:pic>
    <xdr:clientData/>
  </xdr:twoCellAnchor>
  <xdr:twoCellAnchor editAs="oneCell">
    <xdr:from>
      <xdr:col>31</xdr:col>
      <xdr:colOff>85768</xdr:colOff>
      <xdr:row>5</xdr:row>
      <xdr:rowOff>155865</xdr:rowOff>
    </xdr:from>
    <xdr:to>
      <xdr:col>39</xdr:col>
      <xdr:colOff>717574</xdr:colOff>
      <xdr:row>14</xdr:row>
      <xdr:rowOff>13855</xdr:rowOff>
    </xdr:to>
    <xdr:pic>
      <xdr:nvPicPr>
        <xdr:cNvPr id="28" name="Imagen 27">
          <a:extLst>
            <a:ext uri="{FF2B5EF4-FFF2-40B4-BE49-F238E27FC236}">
              <a16:creationId xmlns:a16="http://schemas.microsoft.com/office/drawing/2014/main" id="{0FEE76F4-759A-43A4-A0FC-739BBD181E58}"/>
            </a:ext>
          </a:extLst>
        </xdr:cNvPr>
        <xdr:cNvPicPr>
          <a:picLocks noChangeAspect="1"/>
        </xdr:cNvPicPr>
      </xdr:nvPicPr>
      <xdr:blipFill>
        <a:blip xmlns:r="http://schemas.openxmlformats.org/officeDocument/2006/relationships" r:embed="rId12"/>
        <a:stretch>
          <a:fillRect/>
        </a:stretch>
      </xdr:blipFill>
      <xdr:spPr>
        <a:xfrm>
          <a:off x="24220386" y="2455720"/>
          <a:ext cx="6949479" cy="1478971"/>
        </a:xfrm>
        <a:prstGeom prst="rect">
          <a:avLst/>
        </a:prstGeom>
      </xdr:spPr>
    </xdr:pic>
    <xdr:clientData/>
  </xdr:twoCellAnchor>
  <xdr:twoCellAnchor editAs="oneCell">
    <xdr:from>
      <xdr:col>34</xdr:col>
      <xdr:colOff>13855</xdr:colOff>
      <xdr:row>17</xdr:row>
      <xdr:rowOff>83127</xdr:rowOff>
    </xdr:from>
    <xdr:to>
      <xdr:col>37</xdr:col>
      <xdr:colOff>215180</xdr:colOff>
      <xdr:row>29</xdr:row>
      <xdr:rowOff>152400</xdr:rowOff>
    </xdr:to>
    <xdr:pic>
      <xdr:nvPicPr>
        <xdr:cNvPr id="29" name="Imagen 28">
          <a:extLst>
            <a:ext uri="{FF2B5EF4-FFF2-40B4-BE49-F238E27FC236}">
              <a16:creationId xmlns:a16="http://schemas.microsoft.com/office/drawing/2014/main" id="{6949DF4A-BBA6-4685-B148-27AC77994F8A}"/>
            </a:ext>
          </a:extLst>
        </xdr:cNvPr>
        <xdr:cNvPicPr>
          <a:picLocks noChangeAspect="1"/>
        </xdr:cNvPicPr>
      </xdr:nvPicPr>
      <xdr:blipFill>
        <a:blip xmlns:r="http://schemas.openxmlformats.org/officeDocument/2006/relationships" r:embed="rId13"/>
        <a:stretch>
          <a:fillRect/>
        </a:stretch>
      </xdr:blipFill>
      <xdr:spPr>
        <a:xfrm>
          <a:off x="26517600" y="4544291"/>
          <a:ext cx="2570453" cy="2230582"/>
        </a:xfrm>
        <a:prstGeom prst="rect">
          <a:avLst/>
        </a:prstGeom>
      </xdr:spPr>
    </xdr:pic>
    <xdr:clientData/>
  </xdr:twoCellAnchor>
  <xdr:oneCellAnchor>
    <xdr:from>
      <xdr:col>41</xdr:col>
      <xdr:colOff>186628</xdr:colOff>
      <xdr:row>17</xdr:row>
      <xdr:rowOff>93779</xdr:rowOff>
    </xdr:from>
    <xdr:ext cx="2071855" cy="2261493"/>
    <xdr:pic>
      <xdr:nvPicPr>
        <xdr:cNvPr id="31" name="Imagen 30">
          <a:extLst>
            <a:ext uri="{FF2B5EF4-FFF2-40B4-BE49-F238E27FC236}">
              <a16:creationId xmlns:a16="http://schemas.microsoft.com/office/drawing/2014/main" id="{D600EF08-69B5-4075-B194-A0F82357FF32}"/>
            </a:ext>
          </a:extLst>
        </xdr:cNvPr>
        <xdr:cNvPicPr>
          <a:picLocks noChangeAspect="1"/>
        </xdr:cNvPicPr>
      </xdr:nvPicPr>
      <xdr:blipFill>
        <a:blip xmlns:r="http://schemas.openxmlformats.org/officeDocument/2006/relationships" r:embed="rId11"/>
        <a:stretch>
          <a:fillRect/>
        </a:stretch>
      </xdr:blipFill>
      <xdr:spPr>
        <a:xfrm>
          <a:off x="32181663" y="4540273"/>
          <a:ext cx="2071855" cy="2261493"/>
        </a:xfrm>
        <a:prstGeom prst="rect">
          <a:avLst/>
        </a:prstGeom>
      </xdr:spPr>
    </xdr:pic>
    <xdr:clientData/>
  </xdr:oneCellAnchor>
  <xdr:twoCellAnchor editAs="oneCell">
    <xdr:from>
      <xdr:col>41</xdr:col>
      <xdr:colOff>249382</xdr:colOff>
      <xdr:row>6</xdr:row>
      <xdr:rowOff>55418</xdr:rowOff>
    </xdr:from>
    <xdr:to>
      <xdr:col>49</xdr:col>
      <xdr:colOff>617969</xdr:colOff>
      <xdr:row>16</xdr:row>
      <xdr:rowOff>17370</xdr:rowOff>
    </xdr:to>
    <xdr:pic>
      <xdr:nvPicPr>
        <xdr:cNvPr id="32" name="Imagen 31">
          <a:extLst>
            <a:ext uri="{FF2B5EF4-FFF2-40B4-BE49-F238E27FC236}">
              <a16:creationId xmlns:a16="http://schemas.microsoft.com/office/drawing/2014/main" id="{9BDB3326-C74F-422D-89DF-10A9FA642A17}"/>
            </a:ext>
          </a:extLst>
        </xdr:cNvPr>
        <xdr:cNvPicPr>
          <a:picLocks noChangeAspect="1"/>
        </xdr:cNvPicPr>
      </xdr:nvPicPr>
      <xdr:blipFill>
        <a:blip xmlns:r="http://schemas.openxmlformats.org/officeDocument/2006/relationships" r:embed="rId14"/>
        <a:stretch>
          <a:fillRect/>
        </a:stretch>
      </xdr:blipFill>
      <xdr:spPr>
        <a:xfrm>
          <a:off x="32281091" y="2535382"/>
          <a:ext cx="6686260" cy="1763043"/>
        </a:xfrm>
        <a:prstGeom prst="rect">
          <a:avLst/>
        </a:prstGeom>
      </xdr:spPr>
    </xdr:pic>
    <xdr:clientData/>
  </xdr:twoCellAnchor>
  <xdr:twoCellAnchor editAs="oneCell">
    <xdr:from>
      <xdr:col>42</xdr:col>
      <xdr:colOff>749221</xdr:colOff>
      <xdr:row>17</xdr:row>
      <xdr:rowOff>53788</xdr:rowOff>
    </xdr:from>
    <xdr:to>
      <xdr:col>49</xdr:col>
      <xdr:colOff>666316</xdr:colOff>
      <xdr:row>23</xdr:row>
      <xdr:rowOff>89647</xdr:rowOff>
    </xdr:to>
    <xdr:pic>
      <xdr:nvPicPr>
        <xdr:cNvPr id="33" name="Imagen 32">
          <a:extLst>
            <a:ext uri="{FF2B5EF4-FFF2-40B4-BE49-F238E27FC236}">
              <a16:creationId xmlns:a16="http://schemas.microsoft.com/office/drawing/2014/main" id="{7DDA5FCE-6E2D-40C1-BF03-57D4A155124C}"/>
            </a:ext>
          </a:extLst>
        </xdr:cNvPr>
        <xdr:cNvPicPr>
          <a:picLocks noChangeAspect="1"/>
        </xdr:cNvPicPr>
      </xdr:nvPicPr>
      <xdr:blipFill>
        <a:blip xmlns:r="http://schemas.openxmlformats.org/officeDocument/2006/relationships" r:embed="rId15"/>
        <a:stretch>
          <a:fillRect/>
        </a:stretch>
      </xdr:blipFill>
      <xdr:spPr>
        <a:xfrm>
          <a:off x="33533150" y="4500282"/>
          <a:ext cx="5439354" cy="1111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42863</xdr:colOff>
      <xdr:row>1</xdr:row>
      <xdr:rowOff>10478</xdr:rowOff>
    </xdr:from>
    <xdr:to>
      <xdr:col>4</xdr:col>
      <xdr:colOff>1281845</xdr:colOff>
      <xdr:row>3</xdr:row>
      <xdr:rowOff>72887</xdr:rowOff>
    </xdr:to>
    <xdr:sp macro="" textlink="">
      <xdr:nvSpPr>
        <xdr:cNvPr id="2" name="CuadroTexto 1">
          <a:extLst>
            <a:ext uri="{FF2B5EF4-FFF2-40B4-BE49-F238E27FC236}">
              <a16:creationId xmlns:a16="http://schemas.microsoft.com/office/drawing/2014/main" id="{5D975AE9-58E7-4707-8CB2-0355AE1DFAB5}"/>
            </a:ext>
          </a:extLst>
        </xdr:cNvPr>
        <xdr:cNvSpPr txBox="1"/>
      </xdr:nvSpPr>
      <xdr:spPr>
        <a:xfrm>
          <a:off x="3786602" y="202635"/>
          <a:ext cx="2299156" cy="440095"/>
        </a:xfrm>
        <a:prstGeom prst="rect">
          <a:avLst/>
        </a:prstGeom>
        <a:solidFill>
          <a:schemeClr val="accent4">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s-ES" sz="1000" b="1"/>
            <a:t>NORMAS DE IDENTIFICACIÓN MADERA: </a:t>
          </a:r>
        </a:p>
        <a:p>
          <a:r>
            <a:rPr lang="es-ES" sz="1000"/>
            <a:t>TIPO DE MADERA, CLASE DE SERVICIO</a:t>
          </a:r>
        </a:p>
      </xdr:txBody>
    </xdr:sp>
    <xdr:clientData/>
  </xdr:twoCellAnchor>
  <xdr:twoCellAnchor editAs="oneCell">
    <xdr:from>
      <xdr:col>5</xdr:col>
      <xdr:colOff>52754</xdr:colOff>
      <xdr:row>5</xdr:row>
      <xdr:rowOff>48356</xdr:rowOff>
    </xdr:from>
    <xdr:to>
      <xdr:col>6</xdr:col>
      <xdr:colOff>1078523</xdr:colOff>
      <xdr:row>17</xdr:row>
      <xdr:rowOff>92388</xdr:rowOff>
    </xdr:to>
    <xdr:pic>
      <xdr:nvPicPr>
        <xdr:cNvPr id="3" name="Imagen 2">
          <a:extLst>
            <a:ext uri="{FF2B5EF4-FFF2-40B4-BE49-F238E27FC236}">
              <a16:creationId xmlns:a16="http://schemas.microsoft.com/office/drawing/2014/main" id="{E0B857F5-7C78-4341-BDD4-B505950A5D92}"/>
            </a:ext>
          </a:extLst>
        </xdr:cNvPr>
        <xdr:cNvPicPr>
          <a:picLocks noChangeAspect="1"/>
        </xdr:cNvPicPr>
      </xdr:nvPicPr>
      <xdr:blipFill>
        <a:blip xmlns:r="http://schemas.openxmlformats.org/officeDocument/2006/relationships" r:embed="rId1"/>
        <a:stretch>
          <a:fillRect/>
        </a:stretch>
      </xdr:blipFill>
      <xdr:spPr>
        <a:xfrm>
          <a:off x="6945923" y="1027233"/>
          <a:ext cx="2344615" cy="2464847"/>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46415</xdr:colOff>
      <xdr:row>19</xdr:row>
      <xdr:rowOff>24231</xdr:rowOff>
    </xdr:from>
    <xdr:to>
      <xdr:col>9</xdr:col>
      <xdr:colOff>414305</xdr:colOff>
      <xdr:row>22</xdr:row>
      <xdr:rowOff>4036</xdr:rowOff>
    </xdr:to>
    <xdr:pic>
      <xdr:nvPicPr>
        <xdr:cNvPr id="7" name="Imagen 6">
          <a:extLst>
            <a:ext uri="{FF2B5EF4-FFF2-40B4-BE49-F238E27FC236}">
              <a16:creationId xmlns:a16="http://schemas.microsoft.com/office/drawing/2014/main" id="{F709A1F1-9A94-47BC-B759-2D388EE17E89}"/>
            </a:ext>
          </a:extLst>
        </xdr:cNvPr>
        <xdr:cNvPicPr>
          <a:picLocks noChangeAspect="1"/>
        </xdr:cNvPicPr>
      </xdr:nvPicPr>
      <xdr:blipFill>
        <a:blip xmlns:r="http://schemas.openxmlformats.org/officeDocument/2006/relationships" r:embed="rId1"/>
        <a:stretch>
          <a:fillRect/>
        </a:stretch>
      </xdr:blipFill>
      <xdr:spPr>
        <a:xfrm>
          <a:off x="12551236" y="4580189"/>
          <a:ext cx="1715427" cy="501173"/>
        </a:xfrm>
        <a:prstGeom prst="rect">
          <a:avLst/>
        </a:prstGeom>
        <a:ln>
          <a:solidFill>
            <a:sysClr val="windowText" lastClr="000000"/>
          </a:solidFill>
        </a:ln>
      </xdr:spPr>
    </xdr:pic>
    <xdr:clientData/>
  </xdr:twoCellAnchor>
  <xdr:twoCellAnchor editAs="oneCell">
    <xdr:from>
      <xdr:col>8</xdr:col>
      <xdr:colOff>45858</xdr:colOff>
      <xdr:row>10</xdr:row>
      <xdr:rowOff>62718</xdr:rowOff>
    </xdr:from>
    <xdr:to>
      <xdr:col>9</xdr:col>
      <xdr:colOff>2266234</xdr:colOff>
      <xdr:row>19</xdr:row>
      <xdr:rowOff>0</xdr:rowOff>
    </xdr:to>
    <xdr:pic>
      <xdr:nvPicPr>
        <xdr:cNvPr id="10" name="Imagen 9">
          <a:extLst>
            <a:ext uri="{FF2B5EF4-FFF2-40B4-BE49-F238E27FC236}">
              <a16:creationId xmlns:a16="http://schemas.microsoft.com/office/drawing/2014/main" id="{B92AF4FC-F747-4AF8-BC01-64235F0499A9}"/>
            </a:ext>
          </a:extLst>
        </xdr:cNvPr>
        <xdr:cNvPicPr>
          <a:picLocks noChangeAspect="1"/>
        </xdr:cNvPicPr>
      </xdr:nvPicPr>
      <xdr:blipFill>
        <a:blip xmlns:r="http://schemas.openxmlformats.org/officeDocument/2006/relationships" r:embed="rId2"/>
        <a:stretch>
          <a:fillRect/>
        </a:stretch>
      </xdr:blipFill>
      <xdr:spPr>
        <a:xfrm>
          <a:off x="12550679" y="2821960"/>
          <a:ext cx="3567913" cy="1701914"/>
        </a:xfrm>
        <a:prstGeom prst="rect">
          <a:avLst/>
        </a:prstGeom>
        <a:ln>
          <a:solidFill>
            <a:sysClr val="windowText" lastClr="000000"/>
          </a:solidFill>
        </a:ln>
      </xdr:spPr>
    </xdr:pic>
    <xdr:clientData/>
  </xdr:twoCellAnchor>
  <xdr:twoCellAnchor editAs="oneCell">
    <xdr:from>
      <xdr:col>1</xdr:col>
      <xdr:colOff>24063</xdr:colOff>
      <xdr:row>10</xdr:row>
      <xdr:rowOff>85143</xdr:rowOff>
    </xdr:from>
    <xdr:to>
      <xdr:col>3</xdr:col>
      <xdr:colOff>2425872</xdr:colOff>
      <xdr:row>21</xdr:row>
      <xdr:rowOff>27597</xdr:rowOff>
    </xdr:to>
    <xdr:pic>
      <xdr:nvPicPr>
        <xdr:cNvPr id="11" name="Imagen 10">
          <a:extLst>
            <a:ext uri="{FF2B5EF4-FFF2-40B4-BE49-F238E27FC236}">
              <a16:creationId xmlns:a16="http://schemas.microsoft.com/office/drawing/2014/main" id="{735F8894-23FF-4DC6-AE45-8F375687E411}"/>
            </a:ext>
          </a:extLst>
        </xdr:cNvPr>
        <xdr:cNvPicPr>
          <a:picLocks noChangeAspect="1"/>
        </xdr:cNvPicPr>
      </xdr:nvPicPr>
      <xdr:blipFill>
        <a:blip xmlns:r="http://schemas.openxmlformats.org/officeDocument/2006/relationships" r:embed="rId3"/>
        <a:stretch>
          <a:fillRect/>
        </a:stretch>
      </xdr:blipFill>
      <xdr:spPr>
        <a:xfrm>
          <a:off x="1122947" y="2844385"/>
          <a:ext cx="4784062" cy="2076054"/>
        </a:xfrm>
        <a:prstGeom prst="rect">
          <a:avLst/>
        </a:prstGeom>
        <a:ln>
          <a:solidFill>
            <a:sysClr val="windowText" lastClr="000000"/>
          </a:solidFill>
        </a:ln>
      </xdr:spPr>
    </xdr:pic>
    <xdr:clientData/>
  </xdr:twoCellAnchor>
  <xdr:twoCellAnchor>
    <xdr:from>
      <xdr:col>1</xdr:col>
      <xdr:colOff>105591</xdr:colOff>
      <xdr:row>53</xdr:row>
      <xdr:rowOff>15419</xdr:rowOff>
    </xdr:from>
    <xdr:to>
      <xdr:col>2</xdr:col>
      <xdr:colOff>213809</xdr:colOff>
      <xdr:row>54</xdr:row>
      <xdr:rowOff>160020</xdr:rowOff>
    </xdr:to>
    <xdr:pic>
      <xdr:nvPicPr>
        <xdr:cNvPr id="21" name="Imagen 20">
          <a:extLst>
            <a:ext uri="{FF2B5EF4-FFF2-40B4-BE49-F238E27FC236}">
              <a16:creationId xmlns:a16="http://schemas.microsoft.com/office/drawing/2014/main" id="{DB1FECFE-632E-451C-BA53-D3D126322EE6}"/>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2871" y="12230279"/>
          <a:ext cx="1167398" cy="327481"/>
        </a:xfrm>
        <a:prstGeom prst="rect">
          <a:avLst/>
        </a:prstGeom>
        <a:noFill/>
        <a:ln w="1270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105591</xdr:colOff>
      <xdr:row>54</xdr:row>
      <xdr:rowOff>172367</xdr:rowOff>
    </xdr:from>
    <xdr:to>
      <xdr:col>2</xdr:col>
      <xdr:colOff>213810</xdr:colOff>
      <xdr:row>56</xdr:row>
      <xdr:rowOff>124257</xdr:rowOff>
    </xdr:to>
    <xdr:pic>
      <xdr:nvPicPr>
        <xdr:cNvPr id="22" name="Imagen 21">
          <a:extLst>
            <a:ext uri="{FF2B5EF4-FFF2-40B4-BE49-F238E27FC236}">
              <a16:creationId xmlns:a16="http://schemas.microsoft.com/office/drawing/2014/main" id="{CB241519-5005-41D3-9B6D-A9D630F6E05E}"/>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2871" y="12570107"/>
          <a:ext cx="1167399" cy="317650"/>
        </a:xfrm>
        <a:prstGeom prst="rect">
          <a:avLst/>
        </a:prstGeom>
        <a:noFill/>
        <a:ln w="1270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775493</xdr:colOff>
      <xdr:row>54</xdr:row>
      <xdr:rowOff>170486</xdr:rowOff>
    </xdr:from>
    <xdr:to>
      <xdr:col>3</xdr:col>
      <xdr:colOff>2024742</xdr:colOff>
      <xdr:row>56</xdr:row>
      <xdr:rowOff>108420</xdr:rowOff>
    </xdr:to>
    <xdr:pic>
      <xdr:nvPicPr>
        <xdr:cNvPr id="23" name="Imagen 22">
          <a:extLst>
            <a:ext uri="{FF2B5EF4-FFF2-40B4-BE49-F238E27FC236}">
              <a16:creationId xmlns:a16="http://schemas.microsoft.com/office/drawing/2014/main" id="{39F74D65-D17F-4621-B7D8-DDBDD6666CAF}"/>
            </a:ext>
          </a:extLst>
        </xdr:cNvPr>
        <xdr:cNvPicPr>
          <a:picLocks noChangeAspect="1"/>
        </xdr:cNvPicPr>
      </xdr:nvPicPr>
      <xdr:blipFill>
        <a:blip xmlns:r="http://schemas.openxmlformats.org/officeDocument/2006/relationships" r:embed="rId6"/>
        <a:stretch>
          <a:fillRect/>
        </a:stretch>
      </xdr:blipFill>
      <xdr:spPr>
        <a:xfrm>
          <a:off x="4204493" y="12568226"/>
          <a:ext cx="1249249" cy="303692"/>
        </a:xfrm>
        <a:prstGeom prst="rect">
          <a:avLst/>
        </a:prstGeom>
        <a:ln w="12700">
          <a:solidFill>
            <a:sysClr val="windowText" lastClr="000000"/>
          </a:solidFill>
        </a:ln>
      </xdr:spPr>
    </xdr:pic>
    <xdr:clientData/>
  </xdr:twoCellAnchor>
  <xdr:twoCellAnchor editAs="oneCell">
    <xdr:from>
      <xdr:col>3</xdr:col>
      <xdr:colOff>772884</xdr:colOff>
      <xdr:row>53</xdr:row>
      <xdr:rowOff>18706</xdr:rowOff>
    </xdr:from>
    <xdr:to>
      <xdr:col>3</xdr:col>
      <xdr:colOff>2026218</xdr:colOff>
      <xdr:row>54</xdr:row>
      <xdr:rowOff>140054</xdr:rowOff>
    </xdr:to>
    <xdr:pic>
      <xdr:nvPicPr>
        <xdr:cNvPr id="24" name="Imagen 23">
          <a:extLst>
            <a:ext uri="{FF2B5EF4-FFF2-40B4-BE49-F238E27FC236}">
              <a16:creationId xmlns:a16="http://schemas.microsoft.com/office/drawing/2014/main" id="{C9DB83D0-69CC-403E-9AA3-257BAD4C4CD2}"/>
            </a:ext>
          </a:extLst>
        </xdr:cNvPr>
        <xdr:cNvPicPr>
          <a:picLocks noChangeAspect="1"/>
        </xdr:cNvPicPr>
      </xdr:nvPicPr>
      <xdr:blipFill>
        <a:blip xmlns:r="http://schemas.openxmlformats.org/officeDocument/2006/relationships" r:embed="rId7"/>
        <a:stretch>
          <a:fillRect/>
        </a:stretch>
      </xdr:blipFill>
      <xdr:spPr>
        <a:xfrm>
          <a:off x="4201884" y="12233566"/>
          <a:ext cx="1253334" cy="304229"/>
        </a:xfrm>
        <a:prstGeom prst="rect">
          <a:avLst/>
        </a:prstGeom>
        <a:ln w="12700">
          <a:solidFill>
            <a:sysClr val="windowText" lastClr="000000"/>
          </a:solidFill>
        </a:ln>
      </xdr:spPr>
    </xdr:pic>
    <xdr:clientData/>
  </xdr:twoCellAnchor>
  <xdr:twoCellAnchor editAs="oneCell">
    <xdr:from>
      <xdr:col>5</xdr:col>
      <xdr:colOff>201857</xdr:colOff>
      <xdr:row>53</xdr:row>
      <xdr:rowOff>36518</xdr:rowOff>
    </xdr:from>
    <xdr:to>
      <xdr:col>6</xdr:col>
      <xdr:colOff>121921</xdr:colOff>
      <xdr:row>55</xdr:row>
      <xdr:rowOff>27960</xdr:rowOff>
    </xdr:to>
    <xdr:pic>
      <xdr:nvPicPr>
        <xdr:cNvPr id="25" name="Imagen 24">
          <a:extLst>
            <a:ext uri="{FF2B5EF4-FFF2-40B4-BE49-F238E27FC236}">
              <a16:creationId xmlns:a16="http://schemas.microsoft.com/office/drawing/2014/main" id="{32462465-64C7-43DD-AE95-386F04410DB6}"/>
            </a:ext>
          </a:extLst>
        </xdr:cNvPr>
        <xdr:cNvPicPr>
          <a:picLocks noChangeAspect="1"/>
        </xdr:cNvPicPr>
      </xdr:nvPicPr>
      <xdr:blipFill>
        <a:blip xmlns:r="http://schemas.openxmlformats.org/officeDocument/2006/relationships" r:embed="rId8"/>
        <a:stretch>
          <a:fillRect/>
        </a:stretch>
      </xdr:blipFill>
      <xdr:spPr>
        <a:xfrm>
          <a:off x="7166537" y="12251378"/>
          <a:ext cx="1680283" cy="326723"/>
        </a:xfrm>
        <a:prstGeom prst="rect">
          <a:avLst/>
        </a:prstGeom>
        <a:ln w="12700">
          <a:solidFill>
            <a:sysClr val="windowText" lastClr="000000"/>
          </a:solidFill>
        </a:ln>
      </xdr:spPr>
    </xdr:pic>
    <xdr:clientData/>
  </xdr:twoCellAnchor>
  <xdr:twoCellAnchor editAs="oneCell">
    <xdr:from>
      <xdr:col>5</xdr:col>
      <xdr:colOff>196545</xdr:colOff>
      <xdr:row>55</xdr:row>
      <xdr:rowOff>1977</xdr:rowOff>
    </xdr:from>
    <xdr:to>
      <xdr:col>6</xdr:col>
      <xdr:colOff>131745</xdr:colOff>
      <xdr:row>56</xdr:row>
      <xdr:rowOff>146585</xdr:rowOff>
    </xdr:to>
    <xdr:pic>
      <xdr:nvPicPr>
        <xdr:cNvPr id="26" name="Imagen 25">
          <a:extLst>
            <a:ext uri="{FF2B5EF4-FFF2-40B4-BE49-F238E27FC236}">
              <a16:creationId xmlns:a16="http://schemas.microsoft.com/office/drawing/2014/main" id="{A9861B3A-26CD-4ACE-9904-11C850ADFAE9}"/>
            </a:ext>
          </a:extLst>
        </xdr:cNvPr>
        <xdr:cNvPicPr>
          <a:picLocks noChangeAspect="1"/>
        </xdr:cNvPicPr>
      </xdr:nvPicPr>
      <xdr:blipFill>
        <a:blip xmlns:r="http://schemas.openxmlformats.org/officeDocument/2006/relationships" r:embed="rId9"/>
        <a:stretch>
          <a:fillRect/>
        </a:stretch>
      </xdr:blipFill>
      <xdr:spPr>
        <a:xfrm>
          <a:off x="7161225" y="12582597"/>
          <a:ext cx="1695419" cy="327486"/>
        </a:xfrm>
        <a:prstGeom prst="rect">
          <a:avLst/>
        </a:prstGeom>
        <a:ln w="12700">
          <a:solidFill>
            <a:schemeClr val="tx1"/>
          </a:solidFill>
        </a:ln>
      </xdr:spPr>
    </xdr:pic>
    <xdr:clientData/>
  </xdr:twoCellAnchor>
  <xdr:twoCellAnchor editAs="oneCell">
    <xdr:from>
      <xdr:col>7</xdr:col>
      <xdr:colOff>230777</xdr:colOff>
      <xdr:row>53</xdr:row>
      <xdr:rowOff>77068</xdr:rowOff>
    </xdr:from>
    <xdr:to>
      <xdr:col>7</xdr:col>
      <xdr:colOff>1323849</xdr:colOff>
      <xdr:row>55</xdr:row>
      <xdr:rowOff>84530</xdr:rowOff>
    </xdr:to>
    <xdr:pic>
      <xdr:nvPicPr>
        <xdr:cNvPr id="27" name="Imagen 26">
          <a:extLst>
            <a:ext uri="{FF2B5EF4-FFF2-40B4-BE49-F238E27FC236}">
              <a16:creationId xmlns:a16="http://schemas.microsoft.com/office/drawing/2014/main" id="{A59BF8B5-36D2-481D-A82E-217F27103219}"/>
            </a:ext>
          </a:extLst>
        </xdr:cNvPr>
        <xdr:cNvPicPr>
          <a:picLocks noChangeAspect="1"/>
        </xdr:cNvPicPr>
      </xdr:nvPicPr>
      <xdr:blipFill>
        <a:blip xmlns:r="http://schemas.openxmlformats.org/officeDocument/2006/relationships" r:embed="rId10"/>
        <a:stretch>
          <a:fillRect/>
        </a:stretch>
      </xdr:blipFill>
      <xdr:spPr>
        <a:xfrm>
          <a:off x="11165477" y="12291928"/>
          <a:ext cx="1093072" cy="373223"/>
        </a:xfrm>
        <a:prstGeom prst="rect">
          <a:avLst/>
        </a:prstGeom>
        <a:ln w="12700">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734814</xdr:colOff>
      <xdr:row>9</xdr:row>
      <xdr:rowOff>180084</xdr:rowOff>
    </xdr:from>
    <xdr:to>
      <xdr:col>5</xdr:col>
      <xdr:colOff>1497497</xdr:colOff>
      <xdr:row>15</xdr:row>
      <xdr:rowOff>106017</xdr:rowOff>
    </xdr:to>
    <xdr:pic>
      <xdr:nvPicPr>
        <xdr:cNvPr id="2" name="Imagen 1">
          <a:extLst>
            <a:ext uri="{FF2B5EF4-FFF2-40B4-BE49-F238E27FC236}">
              <a16:creationId xmlns:a16="http://schemas.microsoft.com/office/drawing/2014/main" id="{DDD408F2-98A8-4707-B292-18DEDA926C66}"/>
            </a:ext>
          </a:extLst>
        </xdr:cNvPr>
        <xdr:cNvPicPr>
          <a:picLocks noChangeAspect="1"/>
        </xdr:cNvPicPr>
      </xdr:nvPicPr>
      <xdr:blipFill>
        <a:blip xmlns:r="http://schemas.openxmlformats.org/officeDocument/2006/relationships" r:embed="rId1"/>
        <a:stretch>
          <a:fillRect/>
        </a:stretch>
      </xdr:blipFill>
      <xdr:spPr>
        <a:xfrm>
          <a:off x="5094779" y="1849858"/>
          <a:ext cx="2584857" cy="1039116"/>
        </a:xfrm>
        <a:prstGeom prst="rect">
          <a:avLst/>
        </a:prstGeom>
        <a:ln>
          <a:solidFill>
            <a:sysClr val="windowText" lastClr="000000"/>
          </a:solidFill>
        </a:ln>
      </xdr:spPr>
    </xdr:pic>
    <xdr:clientData/>
  </xdr:twoCellAnchor>
  <xdr:twoCellAnchor editAs="oneCell">
    <xdr:from>
      <xdr:col>4</xdr:col>
      <xdr:colOff>15404</xdr:colOff>
      <xdr:row>35</xdr:row>
      <xdr:rowOff>21771</xdr:rowOff>
    </xdr:from>
    <xdr:to>
      <xdr:col>5</xdr:col>
      <xdr:colOff>424978</xdr:colOff>
      <xdr:row>41</xdr:row>
      <xdr:rowOff>68081</xdr:rowOff>
    </xdr:to>
    <xdr:pic>
      <xdr:nvPicPr>
        <xdr:cNvPr id="3" name="Imagen 2">
          <a:extLst>
            <a:ext uri="{FF2B5EF4-FFF2-40B4-BE49-F238E27FC236}">
              <a16:creationId xmlns:a16="http://schemas.microsoft.com/office/drawing/2014/main" id="{6235A101-9ED5-40A3-833E-F5554EDA49D9}"/>
            </a:ext>
          </a:extLst>
        </xdr:cNvPr>
        <xdr:cNvPicPr>
          <a:picLocks noChangeAspect="1"/>
        </xdr:cNvPicPr>
      </xdr:nvPicPr>
      <xdr:blipFill>
        <a:blip xmlns:r="http://schemas.openxmlformats.org/officeDocument/2006/relationships" r:embed="rId2"/>
        <a:stretch>
          <a:fillRect/>
        </a:stretch>
      </xdr:blipFill>
      <xdr:spPr>
        <a:xfrm>
          <a:off x="5162498" y="6480080"/>
          <a:ext cx="1438993" cy="1150492"/>
        </a:xfrm>
        <a:prstGeom prst="rect">
          <a:avLst/>
        </a:prstGeom>
        <a:ln>
          <a:solidFill>
            <a:sysClr val="windowText" lastClr="000000"/>
          </a:solidFill>
        </a:ln>
      </xdr:spPr>
    </xdr:pic>
    <xdr:clientData/>
  </xdr:twoCellAnchor>
  <xdr:twoCellAnchor editAs="oneCell">
    <xdr:from>
      <xdr:col>5</xdr:col>
      <xdr:colOff>39188</xdr:colOff>
      <xdr:row>55</xdr:row>
      <xdr:rowOff>25537</xdr:rowOff>
    </xdr:from>
    <xdr:to>
      <xdr:col>6</xdr:col>
      <xdr:colOff>750640</xdr:colOff>
      <xdr:row>67</xdr:row>
      <xdr:rowOff>170801</xdr:rowOff>
    </xdr:to>
    <xdr:pic>
      <xdr:nvPicPr>
        <xdr:cNvPr id="4" name="Imagen 3">
          <a:extLst>
            <a:ext uri="{FF2B5EF4-FFF2-40B4-BE49-F238E27FC236}">
              <a16:creationId xmlns:a16="http://schemas.microsoft.com/office/drawing/2014/main" id="{05393F9E-E221-4047-8804-650ABDF05CCA}"/>
            </a:ext>
          </a:extLst>
        </xdr:cNvPr>
        <xdr:cNvPicPr>
          <a:picLocks noChangeAspect="1"/>
        </xdr:cNvPicPr>
      </xdr:nvPicPr>
      <xdr:blipFill>
        <a:blip xmlns:r="http://schemas.openxmlformats.org/officeDocument/2006/relationships" r:embed="rId3"/>
        <a:stretch>
          <a:fillRect/>
        </a:stretch>
      </xdr:blipFill>
      <xdr:spPr>
        <a:xfrm>
          <a:off x="6221327" y="10269467"/>
          <a:ext cx="2248704" cy="2371630"/>
        </a:xfrm>
        <a:prstGeom prst="rect">
          <a:avLst/>
        </a:prstGeom>
        <a:ln>
          <a:solidFill>
            <a:sysClr val="windowText" lastClr="000000"/>
          </a:solidFill>
        </a:ln>
      </xdr:spPr>
    </xdr:pic>
    <xdr:clientData/>
  </xdr:twoCellAnchor>
  <xdr:twoCellAnchor editAs="oneCell">
    <xdr:from>
      <xdr:col>3</xdr:col>
      <xdr:colOff>793013</xdr:colOff>
      <xdr:row>16</xdr:row>
      <xdr:rowOff>34272</xdr:rowOff>
    </xdr:from>
    <xdr:to>
      <xdr:col>5</xdr:col>
      <xdr:colOff>1500227</xdr:colOff>
      <xdr:row>22</xdr:row>
      <xdr:rowOff>106017</xdr:rowOff>
    </xdr:to>
    <xdr:pic>
      <xdr:nvPicPr>
        <xdr:cNvPr id="6" name="Imagen 5">
          <a:extLst>
            <a:ext uri="{FF2B5EF4-FFF2-40B4-BE49-F238E27FC236}">
              <a16:creationId xmlns:a16="http://schemas.microsoft.com/office/drawing/2014/main" id="{8981C052-2C1D-4822-85CD-522D67FE040B}"/>
            </a:ext>
          </a:extLst>
        </xdr:cNvPr>
        <xdr:cNvPicPr>
          <a:picLocks noChangeAspect="1"/>
        </xdr:cNvPicPr>
      </xdr:nvPicPr>
      <xdr:blipFill>
        <a:blip xmlns:r="http://schemas.openxmlformats.org/officeDocument/2006/relationships" r:embed="rId4"/>
        <a:stretch>
          <a:fillRect/>
        </a:stretch>
      </xdr:blipFill>
      <xdr:spPr>
        <a:xfrm>
          <a:off x="5152978" y="3002759"/>
          <a:ext cx="2529388" cy="1184928"/>
        </a:xfrm>
        <a:prstGeom prst="rect">
          <a:avLst/>
        </a:prstGeom>
        <a:ln>
          <a:solidFill>
            <a:sysClr val="windowText" lastClr="000000"/>
          </a:solidFill>
        </a:ln>
      </xdr:spPr>
    </xdr:pic>
    <xdr:clientData/>
  </xdr:twoCellAnchor>
  <xdr:twoCellAnchor editAs="oneCell">
    <xdr:from>
      <xdr:col>4</xdr:col>
      <xdr:colOff>13444</xdr:colOff>
      <xdr:row>42</xdr:row>
      <xdr:rowOff>10862</xdr:rowOff>
    </xdr:from>
    <xdr:to>
      <xdr:col>5</xdr:col>
      <xdr:colOff>1380565</xdr:colOff>
      <xdr:row>47</xdr:row>
      <xdr:rowOff>168729</xdr:rowOff>
    </xdr:to>
    <xdr:pic>
      <xdr:nvPicPr>
        <xdr:cNvPr id="7" name="Imagen 6">
          <a:extLst>
            <a:ext uri="{FF2B5EF4-FFF2-40B4-BE49-F238E27FC236}">
              <a16:creationId xmlns:a16="http://schemas.microsoft.com/office/drawing/2014/main" id="{B2B117B5-6B73-4020-BA7B-711B348789AE}"/>
            </a:ext>
          </a:extLst>
        </xdr:cNvPr>
        <xdr:cNvPicPr>
          <a:picLocks noChangeAspect="1"/>
        </xdr:cNvPicPr>
      </xdr:nvPicPr>
      <xdr:blipFill>
        <a:blip xmlns:r="http://schemas.openxmlformats.org/officeDocument/2006/relationships" r:embed="rId5"/>
        <a:stretch>
          <a:fillRect/>
        </a:stretch>
      </xdr:blipFill>
      <xdr:spPr>
        <a:xfrm>
          <a:off x="5159185" y="7568109"/>
          <a:ext cx="2398062" cy="1054338"/>
        </a:xfrm>
        <a:prstGeom prst="rect">
          <a:avLst/>
        </a:prstGeom>
        <a:ln>
          <a:solidFill>
            <a:sysClr val="windowText" lastClr="000000"/>
          </a:solidFill>
        </a:ln>
      </xdr:spPr>
    </xdr:pic>
    <xdr:clientData/>
  </xdr:twoCellAnchor>
  <xdr:twoCellAnchor editAs="oneCell">
    <xdr:from>
      <xdr:col>5</xdr:col>
      <xdr:colOff>55025</xdr:colOff>
      <xdr:row>98</xdr:row>
      <xdr:rowOff>31852</xdr:rowOff>
    </xdr:from>
    <xdr:to>
      <xdr:col>7</xdr:col>
      <xdr:colOff>371360</xdr:colOff>
      <xdr:row>108</xdr:row>
      <xdr:rowOff>9899</xdr:rowOff>
    </xdr:to>
    <xdr:pic>
      <xdr:nvPicPr>
        <xdr:cNvPr id="8" name="Imagen 7">
          <a:extLst>
            <a:ext uri="{FF2B5EF4-FFF2-40B4-BE49-F238E27FC236}">
              <a16:creationId xmlns:a16="http://schemas.microsoft.com/office/drawing/2014/main" id="{6F526365-B0F5-4334-A077-63501B7036D4}"/>
            </a:ext>
          </a:extLst>
        </xdr:cNvPr>
        <xdr:cNvPicPr>
          <a:picLocks noChangeAspect="1"/>
        </xdr:cNvPicPr>
      </xdr:nvPicPr>
      <xdr:blipFill>
        <a:blip xmlns:r="http://schemas.openxmlformats.org/officeDocument/2006/relationships" r:embed="rId6"/>
        <a:stretch>
          <a:fillRect/>
        </a:stretch>
      </xdr:blipFill>
      <xdr:spPr>
        <a:xfrm>
          <a:off x="6234152" y="17834943"/>
          <a:ext cx="2643899" cy="1779138"/>
        </a:xfrm>
        <a:prstGeom prst="rect">
          <a:avLst/>
        </a:prstGeom>
        <a:ln>
          <a:solidFill>
            <a:sysClr val="windowText" lastClr="000000"/>
          </a:solidFill>
        </a:ln>
      </xdr:spPr>
    </xdr:pic>
    <xdr:clientData/>
  </xdr:twoCellAnchor>
  <xdr:twoCellAnchor editAs="oneCell">
    <xdr:from>
      <xdr:col>4</xdr:col>
      <xdr:colOff>13855</xdr:colOff>
      <xdr:row>2</xdr:row>
      <xdr:rowOff>105373</xdr:rowOff>
    </xdr:from>
    <xdr:to>
      <xdr:col>4</xdr:col>
      <xdr:colOff>1017962</xdr:colOff>
      <xdr:row>8</xdr:row>
      <xdr:rowOff>87085</xdr:rowOff>
    </xdr:to>
    <xdr:pic>
      <xdr:nvPicPr>
        <xdr:cNvPr id="9" name="Imagen 8" descr="Carga lateral">
          <a:extLst>
            <a:ext uri="{FF2B5EF4-FFF2-40B4-BE49-F238E27FC236}">
              <a16:creationId xmlns:a16="http://schemas.microsoft.com/office/drawing/2014/main" id="{D56DD642-7CE1-4D30-BA3D-31A4E438693C}"/>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7"/>
        <a:stretch>
          <a:fillRect/>
        </a:stretch>
      </xdr:blipFill>
      <xdr:spPr>
        <a:xfrm>
          <a:off x="5157355" y="470044"/>
          <a:ext cx="1004107" cy="1075727"/>
        </a:xfrm>
        <a:prstGeom prst="rect">
          <a:avLst/>
        </a:prstGeom>
        <a:ln>
          <a:solidFill>
            <a:sysClr val="windowText" lastClr="000000"/>
          </a:solidFill>
        </a:ln>
      </xdr:spPr>
    </xdr:pic>
    <xdr:clientData/>
  </xdr:twoCellAnchor>
  <xdr:twoCellAnchor editAs="oneCell">
    <xdr:from>
      <xdr:col>5</xdr:col>
      <xdr:colOff>18277</xdr:colOff>
      <xdr:row>2</xdr:row>
      <xdr:rowOff>104332</xdr:rowOff>
    </xdr:from>
    <xdr:to>
      <xdr:col>5</xdr:col>
      <xdr:colOff>1525979</xdr:colOff>
      <xdr:row>5</xdr:row>
      <xdr:rowOff>142008</xdr:rowOff>
    </xdr:to>
    <xdr:pic>
      <xdr:nvPicPr>
        <xdr:cNvPr id="10" name="Imagen 9">
          <a:extLst>
            <a:ext uri="{FF2B5EF4-FFF2-40B4-BE49-F238E27FC236}">
              <a16:creationId xmlns:a16="http://schemas.microsoft.com/office/drawing/2014/main" id="{8BBE0122-E23A-4487-BED9-CC13ACA9E38B}"/>
            </a:ext>
          </a:extLst>
        </xdr:cNvPr>
        <xdr:cNvPicPr>
          <a:picLocks noChangeAspect="1"/>
        </xdr:cNvPicPr>
      </xdr:nvPicPr>
      <xdr:blipFill rotWithShape="1">
        <a:blip xmlns:r="http://schemas.openxmlformats.org/officeDocument/2006/relationships" r:embed="rId8"/>
        <a:srcRect l="3214" r="6502"/>
        <a:stretch/>
      </xdr:blipFill>
      <xdr:spPr>
        <a:xfrm>
          <a:off x="6190477" y="469003"/>
          <a:ext cx="1507702" cy="584684"/>
        </a:xfrm>
        <a:prstGeom prst="rect">
          <a:avLst/>
        </a:prstGeom>
        <a:ln>
          <a:solidFill>
            <a:sysClr val="windowText" lastClr="000000"/>
          </a:solidFill>
        </a:ln>
      </xdr:spPr>
    </xdr:pic>
    <xdr:clientData/>
  </xdr:twoCellAnchor>
  <xdr:twoCellAnchor editAs="oneCell">
    <xdr:from>
      <xdr:col>5</xdr:col>
      <xdr:colOff>58270</xdr:colOff>
      <xdr:row>92</xdr:row>
      <xdr:rowOff>7190</xdr:rowOff>
    </xdr:from>
    <xdr:to>
      <xdr:col>7</xdr:col>
      <xdr:colOff>374512</xdr:colOff>
      <xdr:row>97</xdr:row>
      <xdr:rowOff>158263</xdr:rowOff>
    </xdr:to>
    <xdr:pic>
      <xdr:nvPicPr>
        <xdr:cNvPr id="11" name="Imagen 10">
          <a:extLst>
            <a:ext uri="{FF2B5EF4-FFF2-40B4-BE49-F238E27FC236}">
              <a16:creationId xmlns:a16="http://schemas.microsoft.com/office/drawing/2014/main" id="{612E70AC-8512-426A-84CB-01694A09D6D9}"/>
            </a:ext>
          </a:extLst>
        </xdr:cNvPr>
        <xdr:cNvPicPr>
          <a:picLocks noChangeAspect="1"/>
        </xdr:cNvPicPr>
      </xdr:nvPicPr>
      <xdr:blipFill>
        <a:blip xmlns:r="http://schemas.openxmlformats.org/officeDocument/2006/relationships" r:embed="rId1"/>
        <a:stretch>
          <a:fillRect/>
        </a:stretch>
      </xdr:blipFill>
      <xdr:spPr>
        <a:xfrm>
          <a:off x="6230470" y="16829805"/>
          <a:ext cx="2649134" cy="1083058"/>
        </a:xfrm>
        <a:prstGeom prst="rect">
          <a:avLst/>
        </a:prstGeom>
        <a:ln>
          <a:solidFill>
            <a:sysClr val="windowText" lastClr="000000"/>
          </a:solidFill>
        </a:ln>
      </xdr:spPr>
    </xdr:pic>
    <xdr:clientData/>
  </xdr:twoCellAnchor>
  <xdr:twoCellAnchor editAs="oneCell">
    <xdr:from>
      <xdr:col>5</xdr:col>
      <xdr:colOff>44832</xdr:colOff>
      <xdr:row>68</xdr:row>
      <xdr:rowOff>37418</xdr:rowOff>
    </xdr:from>
    <xdr:to>
      <xdr:col>6</xdr:col>
      <xdr:colOff>736262</xdr:colOff>
      <xdr:row>75</xdr:row>
      <xdr:rowOff>68554</xdr:rowOff>
    </xdr:to>
    <xdr:pic>
      <xdr:nvPicPr>
        <xdr:cNvPr id="13" name="Imagen 12" descr="BLOG DEL DEPARTAMENTO DE INSTALACIONES: TORNILLOS. UNIONES ATORNILLADAS">
          <a:extLst>
            <a:ext uri="{FF2B5EF4-FFF2-40B4-BE49-F238E27FC236}">
              <a16:creationId xmlns:a16="http://schemas.microsoft.com/office/drawing/2014/main" id="{50E2709D-0A05-43BE-8C72-361F8D98926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032" y="12463880"/>
          <a:ext cx="2233015" cy="130308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28984</xdr:colOff>
      <xdr:row>121</xdr:row>
      <xdr:rowOff>24000</xdr:rowOff>
    </xdr:from>
    <xdr:to>
      <xdr:col>6</xdr:col>
      <xdr:colOff>740436</xdr:colOff>
      <xdr:row>133</xdr:row>
      <xdr:rowOff>169264</xdr:rowOff>
    </xdr:to>
    <xdr:pic>
      <xdr:nvPicPr>
        <xdr:cNvPr id="15" name="Imagen 14">
          <a:extLst>
            <a:ext uri="{FF2B5EF4-FFF2-40B4-BE49-F238E27FC236}">
              <a16:creationId xmlns:a16="http://schemas.microsoft.com/office/drawing/2014/main" id="{6683E969-A823-4D63-A524-3C8B2B1EA710}"/>
            </a:ext>
          </a:extLst>
        </xdr:cNvPr>
        <xdr:cNvPicPr>
          <a:picLocks noChangeAspect="1"/>
        </xdr:cNvPicPr>
      </xdr:nvPicPr>
      <xdr:blipFill>
        <a:blip xmlns:r="http://schemas.openxmlformats.org/officeDocument/2006/relationships" r:embed="rId3"/>
        <a:stretch>
          <a:fillRect/>
        </a:stretch>
      </xdr:blipFill>
      <xdr:spPr>
        <a:xfrm>
          <a:off x="6201184" y="22174754"/>
          <a:ext cx="2253037" cy="2325756"/>
        </a:xfrm>
        <a:prstGeom prst="rect">
          <a:avLst/>
        </a:prstGeom>
        <a:ln>
          <a:solidFill>
            <a:sysClr val="windowText" lastClr="000000"/>
          </a:solidFill>
        </a:ln>
      </xdr:spPr>
    </xdr:pic>
    <xdr:clientData/>
  </xdr:twoCellAnchor>
  <xdr:twoCellAnchor editAs="oneCell">
    <xdr:from>
      <xdr:col>5</xdr:col>
      <xdr:colOff>14568</xdr:colOff>
      <xdr:row>134</xdr:row>
      <xdr:rowOff>47159</xdr:rowOff>
    </xdr:from>
    <xdr:to>
      <xdr:col>6</xdr:col>
      <xdr:colOff>732692</xdr:colOff>
      <xdr:row>141</xdr:row>
      <xdr:rowOff>94796</xdr:rowOff>
    </xdr:to>
    <xdr:pic>
      <xdr:nvPicPr>
        <xdr:cNvPr id="16" name="Imagen 15" descr="BLOG DEL DEPARTAMENTO DE INSTALACIONES: TORNILLOS. UNIONES ATORNILLADAS">
          <a:extLst>
            <a:ext uri="{FF2B5EF4-FFF2-40B4-BE49-F238E27FC236}">
              <a16:creationId xmlns:a16="http://schemas.microsoft.com/office/drawing/2014/main" id="{AFD9637F-0A0F-41F6-A078-ED637A14B7D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186768" y="24560113"/>
          <a:ext cx="2259709" cy="131959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12972</xdr:colOff>
      <xdr:row>4</xdr:row>
      <xdr:rowOff>8709</xdr:rowOff>
    </xdr:from>
    <xdr:to>
      <xdr:col>4</xdr:col>
      <xdr:colOff>68580</xdr:colOff>
      <xdr:row>8</xdr:row>
      <xdr:rowOff>63415</xdr:rowOff>
    </xdr:to>
    <xdr:pic>
      <xdr:nvPicPr>
        <xdr:cNvPr id="5" name="Imagen 4">
          <a:extLst>
            <a:ext uri="{FF2B5EF4-FFF2-40B4-BE49-F238E27FC236}">
              <a16:creationId xmlns:a16="http://schemas.microsoft.com/office/drawing/2014/main" id="{A1C5036B-8584-4133-83B4-097A8618CA7A}"/>
            </a:ext>
          </a:extLst>
        </xdr:cNvPr>
        <xdr:cNvPicPr>
          <a:picLocks noChangeAspect="1"/>
        </xdr:cNvPicPr>
      </xdr:nvPicPr>
      <xdr:blipFill rotWithShape="1">
        <a:blip xmlns:r="http://schemas.openxmlformats.org/officeDocument/2006/relationships" r:embed="rId1"/>
        <a:srcRect l="879" r="6348"/>
        <a:stretch/>
      </xdr:blipFill>
      <xdr:spPr>
        <a:xfrm>
          <a:off x="1735092" y="740229"/>
          <a:ext cx="1434828" cy="786226"/>
        </a:xfrm>
        <a:prstGeom prst="rect">
          <a:avLst/>
        </a:prstGeom>
      </xdr:spPr>
    </xdr:pic>
    <xdr:clientData/>
  </xdr:twoCellAnchor>
  <xdr:twoCellAnchor editAs="oneCell">
    <xdr:from>
      <xdr:col>7</xdr:col>
      <xdr:colOff>17416</xdr:colOff>
      <xdr:row>4</xdr:row>
      <xdr:rowOff>46265</xdr:rowOff>
    </xdr:from>
    <xdr:to>
      <xdr:col>8</xdr:col>
      <xdr:colOff>263</xdr:colOff>
      <xdr:row>6</xdr:row>
      <xdr:rowOff>53340</xdr:rowOff>
    </xdr:to>
    <xdr:pic>
      <xdr:nvPicPr>
        <xdr:cNvPr id="6" name="Imagen 5">
          <a:extLst>
            <a:ext uri="{FF2B5EF4-FFF2-40B4-BE49-F238E27FC236}">
              <a16:creationId xmlns:a16="http://schemas.microsoft.com/office/drawing/2014/main" id="{761FCA5A-DD1F-46B6-8547-7FAFCC77BC67}"/>
            </a:ext>
          </a:extLst>
        </xdr:cNvPr>
        <xdr:cNvPicPr>
          <a:picLocks noChangeAspect="1"/>
        </xdr:cNvPicPr>
      </xdr:nvPicPr>
      <xdr:blipFill>
        <a:blip xmlns:r="http://schemas.openxmlformats.org/officeDocument/2006/relationships" r:embed="rId2"/>
        <a:stretch>
          <a:fillRect/>
        </a:stretch>
      </xdr:blipFill>
      <xdr:spPr>
        <a:xfrm>
          <a:off x="6052456" y="777785"/>
          <a:ext cx="790567" cy="372835"/>
        </a:xfrm>
        <a:prstGeom prst="rect">
          <a:avLst/>
        </a:prstGeom>
      </xdr:spPr>
    </xdr:pic>
    <xdr:clientData/>
  </xdr:twoCellAnchor>
  <xdr:twoCellAnchor editAs="oneCell">
    <xdr:from>
      <xdr:col>2</xdr:col>
      <xdr:colOff>42042</xdr:colOff>
      <xdr:row>24</xdr:row>
      <xdr:rowOff>4638</xdr:rowOff>
    </xdr:from>
    <xdr:to>
      <xdr:col>4</xdr:col>
      <xdr:colOff>184224</xdr:colOff>
      <xdr:row>30</xdr:row>
      <xdr:rowOff>123226</xdr:rowOff>
    </xdr:to>
    <xdr:pic>
      <xdr:nvPicPr>
        <xdr:cNvPr id="7" name="Imagen 6">
          <a:extLst>
            <a:ext uri="{FF2B5EF4-FFF2-40B4-BE49-F238E27FC236}">
              <a16:creationId xmlns:a16="http://schemas.microsoft.com/office/drawing/2014/main" id="{60B3F4AC-0365-4C92-8F51-467E90E5049A}"/>
            </a:ext>
          </a:extLst>
        </xdr:cNvPr>
        <xdr:cNvPicPr>
          <a:picLocks noChangeAspect="1"/>
        </xdr:cNvPicPr>
      </xdr:nvPicPr>
      <xdr:blipFill>
        <a:blip xmlns:r="http://schemas.openxmlformats.org/officeDocument/2006/relationships" r:embed="rId3"/>
        <a:stretch>
          <a:fillRect/>
        </a:stretch>
      </xdr:blipFill>
      <xdr:spPr>
        <a:xfrm>
          <a:off x="1619830" y="2514756"/>
          <a:ext cx="1517817" cy="1194352"/>
        </a:xfrm>
        <a:prstGeom prst="rect">
          <a:avLst/>
        </a:prstGeom>
      </xdr:spPr>
    </xdr:pic>
    <xdr:clientData/>
  </xdr:twoCellAnchor>
  <xdr:twoCellAnchor editAs="oneCell">
    <xdr:from>
      <xdr:col>7</xdr:col>
      <xdr:colOff>35859</xdr:colOff>
      <xdr:row>24</xdr:row>
      <xdr:rowOff>16369</xdr:rowOff>
    </xdr:from>
    <xdr:to>
      <xdr:col>7</xdr:col>
      <xdr:colOff>780141</xdr:colOff>
      <xdr:row>28</xdr:row>
      <xdr:rowOff>38100</xdr:rowOff>
    </xdr:to>
    <xdr:pic>
      <xdr:nvPicPr>
        <xdr:cNvPr id="8" name="Imagen 7">
          <a:extLst>
            <a:ext uri="{FF2B5EF4-FFF2-40B4-BE49-F238E27FC236}">
              <a16:creationId xmlns:a16="http://schemas.microsoft.com/office/drawing/2014/main" id="{83DDF40E-3C1A-4571-84DF-4768D8F07408}"/>
            </a:ext>
          </a:extLst>
        </xdr:cNvPr>
        <xdr:cNvPicPr>
          <a:picLocks noChangeAspect="1"/>
        </xdr:cNvPicPr>
      </xdr:nvPicPr>
      <xdr:blipFill>
        <a:blip xmlns:r="http://schemas.openxmlformats.org/officeDocument/2006/relationships" r:embed="rId4"/>
        <a:stretch>
          <a:fillRect/>
        </a:stretch>
      </xdr:blipFill>
      <xdr:spPr>
        <a:xfrm>
          <a:off x="6070899" y="4405489"/>
          <a:ext cx="744282" cy="753251"/>
        </a:xfrm>
        <a:prstGeom prst="rect">
          <a:avLst/>
        </a:prstGeom>
      </xdr:spPr>
    </xdr:pic>
    <xdr:clientData/>
  </xdr:twoCellAnchor>
  <xdr:twoCellAnchor editAs="oneCell">
    <xdr:from>
      <xdr:col>18</xdr:col>
      <xdr:colOff>63099</xdr:colOff>
      <xdr:row>6</xdr:row>
      <xdr:rowOff>5147</xdr:rowOff>
    </xdr:from>
    <xdr:to>
      <xdr:col>18</xdr:col>
      <xdr:colOff>300405</xdr:colOff>
      <xdr:row>7</xdr:row>
      <xdr:rowOff>12032</xdr:rowOff>
    </xdr:to>
    <xdr:pic>
      <xdr:nvPicPr>
        <xdr:cNvPr id="9" name="Imagen 8">
          <a:extLst>
            <a:ext uri="{FF2B5EF4-FFF2-40B4-BE49-F238E27FC236}">
              <a16:creationId xmlns:a16="http://schemas.microsoft.com/office/drawing/2014/main" id="{C208CE4F-3BC4-4785-B0A7-DDCB6C0C761E}"/>
            </a:ext>
          </a:extLst>
        </xdr:cNvPr>
        <xdr:cNvPicPr>
          <a:picLocks noChangeAspect="1"/>
        </xdr:cNvPicPr>
      </xdr:nvPicPr>
      <xdr:blipFill rotWithShape="1">
        <a:blip xmlns:r="http://schemas.openxmlformats.org/officeDocument/2006/relationships" r:embed="rId5"/>
        <a:srcRect l="15446" t="13792" r="37940" b="16231"/>
        <a:stretch/>
      </xdr:blipFill>
      <xdr:spPr>
        <a:xfrm>
          <a:off x="10382183" y="1112052"/>
          <a:ext cx="237306" cy="191369"/>
        </a:xfrm>
        <a:prstGeom prst="rect">
          <a:avLst/>
        </a:prstGeom>
      </xdr:spPr>
    </xdr:pic>
    <xdr:clientData/>
  </xdr:twoCellAnchor>
  <xdr:twoCellAnchor editAs="oneCell">
    <xdr:from>
      <xdr:col>19</xdr:col>
      <xdr:colOff>259539</xdr:colOff>
      <xdr:row>6</xdr:row>
      <xdr:rowOff>169590</xdr:rowOff>
    </xdr:from>
    <xdr:to>
      <xdr:col>19</xdr:col>
      <xdr:colOff>873149</xdr:colOff>
      <xdr:row>8</xdr:row>
      <xdr:rowOff>1301</xdr:rowOff>
    </xdr:to>
    <xdr:pic>
      <xdr:nvPicPr>
        <xdr:cNvPr id="2" name="Imagen 1">
          <a:extLst>
            <a:ext uri="{FF2B5EF4-FFF2-40B4-BE49-F238E27FC236}">
              <a16:creationId xmlns:a16="http://schemas.microsoft.com/office/drawing/2014/main" id="{1A2ECBFA-6E4C-4C77-BAEC-C368F7680234}"/>
            </a:ext>
          </a:extLst>
        </xdr:cNvPr>
        <xdr:cNvPicPr>
          <a:picLocks noChangeAspect="1"/>
        </xdr:cNvPicPr>
      </xdr:nvPicPr>
      <xdr:blipFill>
        <a:blip xmlns:r="http://schemas.openxmlformats.org/officeDocument/2006/relationships" r:embed="rId6"/>
        <a:stretch>
          <a:fillRect/>
        </a:stretch>
      </xdr:blipFill>
      <xdr:spPr>
        <a:xfrm>
          <a:off x="13463910" y="1279933"/>
          <a:ext cx="613610" cy="2018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A4A2-74E7-4501-BAE1-837AAF5B1E20}">
  <sheetPr>
    <tabColor theme="5" tint="0.59999389629810485"/>
  </sheetPr>
  <dimension ref="B1:S44"/>
  <sheetViews>
    <sheetView tabSelected="1" zoomScale="85" zoomScaleNormal="85" workbookViewId="0">
      <selection activeCell="T6" sqref="T6"/>
    </sheetView>
  </sheetViews>
  <sheetFormatPr baseColWidth="10" defaultRowHeight="14.4" x14ac:dyDescent="0.3"/>
  <cols>
    <col min="1" max="1" width="3.88671875" customWidth="1"/>
    <col min="3" max="3" width="8.5546875" customWidth="1"/>
    <col min="4" max="4" width="5.33203125" customWidth="1"/>
    <col min="6" max="6" width="10.6640625" customWidth="1"/>
    <col min="7" max="7" width="5.33203125" customWidth="1"/>
    <col min="9" max="9" width="30.21875" customWidth="1"/>
    <col min="10" max="10" width="7.88671875" customWidth="1"/>
    <col min="11" max="11" width="11.33203125" customWidth="1"/>
  </cols>
  <sheetData>
    <row r="1" spans="2:19" ht="15" thickBot="1" x14ac:dyDescent="0.35"/>
    <row r="2" spans="2:19" ht="97.2" customHeight="1" thickBot="1" x14ac:dyDescent="0.35">
      <c r="B2" s="190" t="s">
        <v>496</v>
      </c>
      <c r="C2" s="191"/>
      <c r="D2" s="191"/>
      <c r="E2" s="191"/>
      <c r="F2" s="191"/>
      <c r="G2" s="191"/>
      <c r="H2" s="191"/>
      <c r="I2" s="191"/>
      <c r="J2" s="192"/>
      <c r="K2" s="214" t="s">
        <v>412</v>
      </c>
      <c r="L2" s="215"/>
      <c r="M2" s="215"/>
      <c r="N2" s="216"/>
      <c r="O2" s="196" t="s">
        <v>424</v>
      </c>
      <c r="P2" s="197"/>
      <c r="Q2" s="197"/>
      <c r="R2" s="197"/>
      <c r="S2" s="198"/>
    </row>
    <row r="3" spans="2:19" ht="15" thickBot="1" x14ac:dyDescent="0.35"/>
    <row r="4" spans="2:19" ht="14.4" customHeight="1" thickBot="1" x14ac:dyDescent="0.35">
      <c r="B4" s="181" t="s">
        <v>423</v>
      </c>
      <c r="C4" s="182"/>
      <c r="D4" s="182"/>
      <c r="E4" s="182"/>
      <c r="F4" s="182"/>
      <c r="G4" s="182"/>
      <c r="H4" s="182"/>
      <c r="I4" s="182"/>
      <c r="J4" s="183"/>
      <c r="L4" s="208" t="s">
        <v>415</v>
      </c>
      <c r="M4" s="209"/>
      <c r="N4" s="209"/>
      <c r="O4" s="209"/>
      <c r="P4" s="209"/>
      <c r="Q4" s="209"/>
      <c r="R4" s="209"/>
      <c r="S4" s="210"/>
    </row>
    <row r="5" spans="2:19" x14ac:dyDescent="0.3">
      <c r="B5" s="184"/>
      <c r="C5" s="185"/>
      <c r="D5" s="185"/>
      <c r="E5" s="185"/>
      <c r="F5" s="185"/>
      <c r="G5" s="185"/>
      <c r="H5" s="185"/>
      <c r="I5" s="185"/>
      <c r="J5" s="186"/>
      <c r="L5" s="199" t="s">
        <v>416</v>
      </c>
      <c r="M5" s="200"/>
      <c r="N5" s="200"/>
      <c r="O5" s="201"/>
      <c r="P5" s="199" t="s">
        <v>417</v>
      </c>
      <c r="Q5" s="200"/>
      <c r="R5" s="200"/>
      <c r="S5" s="201"/>
    </row>
    <row r="6" spans="2:19" x14ac:dyDescent="0.3">
      <c r="B6" s="184"/>
      <c r="C6" s="185"/>
      <c r="D6" s="185"/>
      <c r="E6" s="185"/>
      <c r="F6" s="185"/>
      <c r="G6" s="185"/>
      <c r="H6" s="185"/>
      <c r="I6" s="185"/>
      <c r="J6" s="186"/>
      <c r="L6" s="202"/>
      <c r="M6" s="203"/>
      <c r="N6" s="203"/>
      <c r="O6" s="204"/>
      <c r="P6" s="202"/>
      <c r="Q6" s="203"/>
      <c r="R6" s="203"/>
      <c r="S6" s="204"/>
    </row>
    <row r="7" spans="2:19" x14ac:dyDescent="0.3">
      <c r="B7" s="184"/>
      <c r="C7" s="185"/>
      <c r="D7" s="185"/>
      <c r="E7" s="185"/>
      <c r="F7" s="185"/>
      <c r="G7" s="185"/>
      <c r="H7" s="185"/>
      <c r="I7" s="185"/>
      <c r="J7" s="186"/>
      <c r="L7" s="202"/>
      <c r="M7" s="203"/>
      <c r="N7" s="203"/>
      <c r="O7" s="204"/>
      <c r="P7" s="202"/>
      <c r="Q7" s="203"/>
      <c r="R7" s="203"/>
      <c r="S7" s="204"/>
    </row>
    <row r="8" spans="2:19" x14ac:dyDescent="0.3">
      <c r="B8" s="184"/>
      <c r="C8" s="185"/>
      <c r="D8" s="185"/>
      <c r="E8" s="185"/>
      <c r="F8" s="185"/>
      <c r="G8" s="185"/>
      <c r="H8" s="185"/>
      <c r="I8" s="185"/>
      <c r="J8" s="186"/>
      <c r="L8" s="202"/>
      <c r="M8" s="203"/>
      <c r="N8" s="203"/>
      <c r="O8" s="204"/>
      <c r="P8" s="202"/>
      <c r="Q8" s="203"/>
      <c r="R8" s="203"/>
      <c r="S8" s="204"/>
    </row>
    <row r="9" spans="2:19" x14ac:dyDescent="0.3">
      <c r="B9" s="184"/>
      <c r="C9" s="185"/>
      <c r="D9" s="185"/>
      <c r="E9" s="185"/>
      <c r="F9" s="185"/>
      <c r="G9" s="185"/>
      <c r="H9" s="185"/>
      <c r="I9" s="185"/>
      <c r="J9" s="186"/>
      <c r="L9" s="202"/>
      <c r="M9" s="203"/>
      <c r="N9" s="203"/>
      <c r="O9" s="204"/>
      <c r="P9" s="202"/>
      <c r="Q9" s="203"/>
      <c r="R9" s="203"/>
      <c r="S9" s="204"/>
    </row>
    <row r="10" spans="2:19" ht="16.2" customHeight="1" thickBot="1" x14ac:dyDescent="0.35">
      <c r="B10" s="184"/>
      <c r="C10" s="185"/>
      <c r="D10" s="185"/>
      <c r="E10" s="185"/>
      <c r="F10" s="185"/>
      <c r="G10" s="185"/>
      <c r="H10" s="185"/>
      <c r="I10" s="185"/>
      <c r="J10" s="186"/>
      <c r="L10" s="205"/>
      <c r="M10" s="206"/>
      <c r="N10" s="206"/>
      <c r="O10" s="207"/>
      <c r="P10" s="205"/>
      <c r="Q10" s="206"/>
      <c r="R10" s="206"/>
      <c r="S10" s="207"/>
    </row>
    <row r="11" spans="2:19" ht="17.399999999999999" customHeight="1" thickBot="1" x14ac:dyDescent="0.35">
      <c r="B11" s="187"/>
      <c r="C11" s="188"/>
      <c r="D11" s="188"/>
      <c r="E11" s="188"/>
      <c r="F11" s="188"/>
      <c r="G11" s="188"/>
      <c r="H11" s="188"/>
      <c r="I11" s="188"/>
      <c r="J11" s="189"/>
    </row>
    <row r="12" spans="2:19" ht="15" customHeight="1" thickBot="1" x14ac:dyDescent="0.35">
      <c r="B12" s="39"/>
      <c r="C12" s="39"/>
      <c r="D12" s="39"/>
      <c r="E12" s="39"/>
      <c r="F12" s="39"/>
      <c r="G12" s="39"/>
      <c r="H12" s="39"/>
      <c r="I12" s="39"/>
      <c r="J12" s="39"/>
      <c r="L12" s="181" t="s">
        <v>418</v>
      </c>
      <c r="M12" s="182"/>
      <c r="N12" s="182"/>
      <c r="O12" s="182"/>
      <c r="P12" s="182"/>
      <c r="Q12" s="182"/>
      <c r="R12" s="182"/>
      <c r="S12" s="183"/>
    </row>
    <row r="13" spans="2:19" ht="15" thickBot="1" x14ac:dyDescent="0.35">
      <c r="B13" s="40"/>
      <c r="C13" s="45" t="s">
        <v>406</v>
      </c>
      <c r="D13" s="39"/>
      <c r="E13" s="41"/>
      <c r="F13" s="45" t="s">
        <v>407</v>
      </c>
      <c r="G13" s="39"/>
      <c r="H13" s="42"/>
      <c r="I13" s="46" t="s">
        <v>414</v>
      </c>
      <c r="J13" s="39"/>
      <c r="L13" s="184"/>
      <c r="M13" s="185"/>
      <c r="N13" s="185"/>
      <c r="O13" s="185"/>
      <c r="P13" s="185"/>
      <c r="Q13" s="185"/>
      <c r="R13" s="185"/>
      <c r="S13" s="186"/>
    </row>
    <row r="14" spans="2:19" ht="15" thickBot="1" x14ac:dyDescent="0.35">
      <c r="L14" s="184"/>
      <c r="M14" s="185"/>
      <c r="N14" s="185"/>
      <c r="O14" s="185"/>
      <c r="P14" s="185"/>
      <c r="Q14" s="185"/>
      <c r="R14" s="185"/>
      <c r="S14" s="186"/>
    </row>
    <row r="15" spans="2:19" ht="14.4" customHeight="1" x14ac:dyDescent="0.3">
      <c r="B15" s="181" t="s">
        <v>408</v>
      </c>
      <c r="C15" s="182"/>
      <c r="D15" s="182"/>
      <c r="E15" s="182"/>
      <c r="F15" s="182"/>
      <c r="G15" s="182"/>
      <c r="H15" s="182"/>
      <c r="I15" s="182"/>
      <c r="J15" s="183"/>
      <c r="L15" s="184"/>
      <c r="M15" s="185"/>
      <c r="N15" s="185"/>
      <c r="O15" s="185"/>
      <c r="P15" s="185"/>
      <c r="Q15" s="185"/>
      <c r="R15" s="185"/>
      <c r="S15" s="186"/>
    </row>
    <row r="16" spans="2:19" x14ac:dyDescent="0.3">
      <c r="B16" s="184"/>
      <c r="C16" s="185"/>
      <c r="D16" s="185"/>
      <c r="E16" s="185"/>
      <c r="F16" s="185"/>
      <c r="G16" s="185"/>
      <c r="H16" s="185"/>
      <c r="I16" s="185"/>
      <c r="J16" s="186"/>
      <c r="L16" s="184"/>
      <c r="M16" s="185"/>
      <c r="N16" s="185"/>
      <c r="O16" s="185"/>
      <c r="P16" s="185"/>
      <c r="Q16" s="185"/>
      <c r="R16" s="185"/>
      <c r="S16" s="186"/>
    </row>
    <row r="17" spans="2:19" x14ac:dyDescent="0.3">
      <c r="B17" s="184"/>
      <c r="C17" s="185"/>
      <c r="D17" s="185"/>
      <c r="E17" s="185"/>
      <c r="F17" s="185"/>
      <c r="G17" s="185"/>
      <c r="H17" s="185"/>
      <c r="I17" s="185"/>
      <c r="J17" s="186"/>
      <c r="L17" s="184"/>
      <c r="M17" s="185"/>
      <c r="N17" s="185"/>
      <c r="O17" s="185"/>
      <c r="P17" s="185"/>
      <c r="Q17" s="185"/>
      <c r="R17" s="185"/>
      <c r="S17" s="186"/>
    </row>
    <row r="18" spans="2:19" x14ac:dyDescent="0.3">
      <c r="B18" s="184"/>
      <c r="C18" s="185"/>
      <c r="D18" s="185"/>
      <c r="E18" s="185"/>
      <c r="F18" s="185"/>
      <c r="G18" s="185"/>
      <c r="H18" s="185"/>
      <c r="I18" s="185"/>
      <c r="J18" s="186"/>
      <c r="L18" s="184"/>
      <c r="M18" s="185"/>
      <c r="N18" s="185"/>
      <c r="O18" s="185"/>
      <c r="P18" s="185"/>
      <c r="Q18" s="185"/>
      <c r="R18" s="185"/>
      <c r="S18" s="186"/>
    </row>
    <row r="19" spans="2:19" x14ac:dyDescent="0.3">
      <c r="B19" s="184"/>
      <c r="C19" s="185"/>
      <c r="D19" s="185"/>
      <c r="E19" s="185"/>
      <c r="F19" s="185"/>
      <c r="G19" s="185"/>
      <c r="H19" s="185"/>
      <c r="I19" s="185"/>
      <c r="J19" s="186"/>
      <c r="L19" s="184"/>
      <c r="M19" s="185"/>
      <c r="N19" s="185"/>
      <c r="O19" s="185"/>
      <c r="P19" s="185"/>
      <c r="Q19" s="185"/>
      <c r="R19" s="185"/>
      <c r="S19" s="186"/>
    </row>
    <row r="20" spans="2:19" x14ac:dyDescent="0.3">
      <c r="B20" s="184"/>
      <c r="C20" s="185"/>
      <c r="D20" s="185"/>
      <c r="E20" s="185"/>
      <c r="F20" s="185"/>
      <c r="G20" s="185"/>
      <c r="H20" s="185"/>
      <c r="I20" s="185"/>
      <c r="J20" s="186"/>
      <c r="L20" s="184"/>
      <c r="M20" s="185"/>
      <c r="N20" s="185"/>
      <c r="O20" s="185"/>
      <c r="P20" s="185"/>
      <c r="Q20" s="185"/>
      <c r="R20" s="185"/>
      <c r="S20" s="186"/>
    </row>
    <row r="21" spans="2:19" ht="17.399999999999999" customHeight="1" thickBot="1" x14ac:dyDescent="0.35">
      <c r="B21" s="187"/>
      <c r="C21" s="188"/>
      <c r="D21" s="188"/>
      <c r="E21" s="188"/>
      <c r="F21" s="188"/>
      <c r="G21" s="188"/>
      <c r="H21" s="188"/>
      <c r="I21" s="188"/>
      <c r="J21" s="189"/>
      <c r="L21" s="187"/>
      <c r="M21" s="188"/>
      <c r="N21" s="188"/>
      <c r="O21" s="188"/>
      <c r="P21" s="188"/>
      <c r="Q21" s="188"/>
      <c r="R21" s="188"/>
      <c r="S21" s="189"/>
    </row>
    <row r="22" spans="2:19" ht="15" thickBot="1" x14ac:dyDescent="0.35">
      <c r="B22" s="39"/>
      <c r="C22" s="39"/>
      <c r="D22" s="39"/>
      <c r="E22" s="39"/>
      <c r="F22" s="39"/>
      <c r="G22" s="39"/>
      <c r="H22" s="39"/>
      <c r="I22" s="39"/>
      <c r="J22" s="39"/>
      <c r="L22" s="39"/>
      <c r="M22" s="39"/>
      <c r="N22" s="39"/>
      <c r="O22" s="39"/>
      <c r="P22" s="39"/>
      <c r="Q22" s="39"/>
      <c r="R22" s="39"/>
      <c r="S22" s="39"/>
    </row>
    <row r="23" spans="2:19" ht="14.4" customHeight="1" thickBot="1" x14ac:dyDescent="0.35">
      <c r="B23" s="181" t="s">
        <v>413</v>
      </c>
      <c r="C23" s="182"/>
      <c r="D23" s="182"/>
      <c r="E23" s="182"/>
      <c r="F23" s="182"/>
      <c r="G23" s="182"/>
      <c r="H23" s="182"/>
      <c r="I23" s="182"/>
      <c r="J23" s="183"/>
      <c r="L23" s="211" t="s">
        <v>419</v>
      </c>
      <c r="M23" s="212"/>
      <c r="N23" s="212"/>
      <c r="O23" s="212"/>
      <c r="P23" s="212"/>
      <c r="Q23" s="212"/>
      <c r="R23" s="212"/>
      <c r="S23" s="213"/>
    </row>
    <row r="24" spans="2:19" ht="14.4" customHeight="1" x14ac:dyDescent="0.3">
      <c r="B24" s="184"/>
      <c r="C24" s="185"/>
      <c r="D24" s="185"/>
      <c r="E24" s="185"/>
      <c r="F24" s="185"/>
      <c r="G24" s="185"/>
      <c r="H24" s="185"/>
      <c r="I24" s="185"/>
      <c r="J24" s="186"/>
      <c r="L24" s="181" t="s">
        <v>420</v>
      </c>
      <c r="M24" s="182"/>
      <c r="N24" s="182"/>
      <c r="O24" s="182"/>
      <c r="P24" s="182"/>
      <c r="Q24" s="182"/>
      <c r="R24" s="182"/>
      <c r="S24" s="183"/>
    </row>
    <row r="25" spans="2:19" x14ac:dyDescent="0.3">
      <c r="B25" s="184"/>
      <c r="C25" s="185"/>
      <c r="D25" s="185"/>
      <c r="E25" s="185"/>
      <c r="F25" s="185"/>
      <c r="G25" s="185"/>
      <c r="H25" s="185"/>
      <c r="I25" s="185"/>
      <c r="J25" s="186"/>
      <c r="L25" s="184"/>
      <c r="M25" s="185"/>
      <c r="N25" s="185"/>
      <c r="O25" s="185"/>
      <c r="P25" s="185"/>
      <c r="Q25" s="185"/>
      <c r="R25" s="185"/>
      <c r="S25" s="186"/>
    </row>
    <row r="26" spans="2:19" x14ac:dyDescent="0.3">
      <c r="B26" s="184"/>
      <c r="C26" s="185"/>
      <c r="D26" s="185"/>
      <c r="E26" s="185"/>
      <c r="F26" s="185"/>
      <c r="G26" s="185"/>
      <c r="H26" s="185"/>
      <c r="I26" s="185"/>
      <c r="J26" s="186"/>
      <c r="L26" s="184"/>
      <c r="M26" s="185"/>
      <c r="N26" s="185"/>
      <c r="O26" s="185"/>
      <c r="P26" s="185"/>
      <c r="Q26" s="185"/>
      <c r="R26" s="185"/>
      <c r="S26" s="186"/>
    </row>
    <row r="27" spans="2:19" x14ac:dyDescent="0.3">
      <c r="B27" s="184"/>
      <c r="C27" s="185"/>
      <c r="D27" s="185"/>
      <c r="E27" s="185"/>
      <c r="F27" s="185"/>
      <c r="G27" s="185"/>
      <c r="H27" s="185"/>
      <c r="I27" s="185"/>
      <c r="J27" s="186"/>
      <c r="L27" s="184"/>
      <c r="M27" s="185"/>
      <c r="N27" s="185"/>
      <c r="O27" s="185"/>
      <c r="P27" s="185"/>
      <c r="Q27" s="185"/>
      <c r="R27" s="185"/>
      <c r="S27" s="186"/>
    </row>
    <row r="28" spans="2:19" x14ac:dyDescent="0.3">
      <c r="B28" s="184"/>
      <c r="C28" s="185"/>
      <c r="D28" s="185"/>
      <c r="E28" s="185"/>
      <c r="F28" s="185"/>
      <c r="G28" s="185"/>
      <c r="H28" s="185"/>
      <c r="I28" s="185"/>
      <c r="J28" s="186"/>
      <c r="L28" s="184"/>
      <c r="M28" s="185"/>
      <c r="N28" s="185"/>
      <c r="O28" s="185"/>
      <c r="P28" s="185"/>
      <c r="Q28" s="185"/>
      <c r="R28" s="185"/>
      <c r="S28" s="186"/>
    </row>
    <row r="29" spans="2:19" x14ac:dyDescent="0.3">
      <c r="B29" s="184"/>
      <c r="C29" s="185"/>
      <c r="D29" s="185"/>
      <c r="E29" s="185"/>
      <c r="F29" s="185"/>
      <c r="G29" s="185"/>
      <c r="H29" s="185"/>
      <c r="I29" s="185"/>
      <c r="J29" s="186"/>
      <c r="L29" s="184"/>
      <c r="M29" s="185"/>
      <c r="N29" s="185"/>
      <c r="O29" s="185"/>
      <c r="P29" s="185"/>
      <c r="Q29" s="185"/>
      <c r="R29" s="185"/>
      <c r="S29" s="186"/>
    </row>
    <row r="30" spans="2:19" x14ac:dyDescent="0.3">
      <c r="B30" s="184"/>
      <c r="C30" s="185"/>
      <c r="D30" s="185"/>
      <c r="E30" s="185"/>
      <c r="F30" s="185"/>
      <c r="G30" s="185"/>
      <c r="H30" s="185"/>
      <c r="I30" s="185"/>
      <c r="J30" s="186"/>
      <c r="L30" s="184"/>
      <c r="M30" s="185"/>
      <c r="N30" s="185"/>
      <c r="O30" s="185"/>
      <c r="P30" s="185"/>
      <c r="Q30" s="185"/>
      <c r="R30" s="185"/>
      <c r="S30" s="186"/>
    </row>
    <row r="31" spans="2:19" x14ac:dyDescent="0.3">
      <c r="B31" s="184"/>
      <c r="C31" s="185"/>
      <c r="D31" s="185"/>
      <c r="E31" s="185"/>
      <c r="F31" s="185"/>
      <c r="G31" s="185"/>
      <c r="H31" s="185"/>
      <c r="I31" s="185"/>
      <c r="J31" s="186"/>
      <c r="L31" s="184"/>
      <c r="M31" s="185"/>
      <c r="N31" s="185"/>
      <c r="O31" s="185"/>
      <c r="P31" s="185"/>
      <c r="Q31" s="185"/>
      <c r="R31" s="185"/>
      <c r="S31" s="186"/>
    </row>
    <row r="32" spans="2:19" ht="15" thickBot="1" x14ac:dyDescent="0.35">
      <c r="B32" s="187"/>
      <c r="C32" s="188"/>
      <c r="D32" s="188"/>
      <c r="E32" s="188"/>
      <c r="F32" s="188"/>
      <c r="G32" s="188"/>
      <c r="H32" s="188"/>
      <c r="I32" s="188"/>
      <c r="J32" s="189"/>
      <c r="L32" s="184"/>
      <c r="M32" s="185"/>
      <c r="N32" s="185"/>
      <c r="O32" s="185"/>
      <c r="P32" s="185"/>
      <c r="Q32" s="185"/>
      <c r="R32" s="185"/>
      <c r="S32" s="186"/>
    </row>
    <row r="33" spans="2:19" ht="15" thickBot="1" x14ac:dyDescent="0.35">
      <c r="B33" s="44"/>
      <c r="C33" s="44"/>
      <c r="D33" s="44"/>
      <c r="E33" s="44"/>
      <c r="F33" s="44"/>
      <c r="G33" s="44"/>
      <c r="H33" s="44"/>
      <c r="I33" s="44"/>
      <c r="J33" s="44"/>
      <c r="L33" s="184"/>
      <c r="M33" s="185"/>
      <c r="N33" s="185"/>
      <c r="O33" s="185"/>
      <c r="P33" s="185"/>
      <c r="Q33" s="185"/>
      <c r="R33" s="185"/>
      <c r="S33" s="186"/>
    </row>
    <row r="34" spans="2:19" ht="14.4" customHeight="1" x14ac:dyDescent="0.3">
      <c r="B34" s="181" t="s">
        <v>409</v>
      </c>
      <c r="C34" s="182"/>
      <c r="D34" s="182"/>
      <c r="E34" s="182"/>
      <c r="F34" s="182"/>
      <c r="G34" s="182"/>
      <c r="H34" s="182"/>
      <c r="I34" s="182"/>
      <c r="J34" s="183"/>
      <c r="L34" s="184"/>
      <c r="M34" s="185"/>
      <c r="N34" s="185"/>
      <c r="O34" s="185"/>
      <c r="P34" s="185"/>
      <c r="Q34" s="185"/>
      <c r="R34" s="185"/>
      <c r="S34" s="186"/>
    </row>
    <row r="35" spans="2:19" x14ac:dyDescent="0.3">
      <c r="B35" s="184"/>
      <c r="C35" s="185"/>
      <c r="D35" s="185"/>
      <c r="E35" s="185"/>
      <c r="F35" s="185"/>
      <c r="G35" s="185"/>
      <c r="H35" s="185"/>
      <c r="I35" s="185"/>
      <c r="J35" s="186"/>
      <c r="L35" s="184"/>
      <c r="M35" s="185"/>
      <c r="N35" s="185"/>
      <c r="O35" s="185"/>
      <c r="P35" s="185"/>
      <c r="Q35" s="185"/>
      <c r="R35" s="185"/>
      <c r="S35" s="186"/>
    </row>
    <row r="36" spans="2:19" x14ac:dyDescent="0.3">
      <c r="B36" s="184"/>
      <c r="C36" s="185"/>
      <c r="D36" s="185"/>
      <c r="E36" s="185"/>
      <c r="F36" s="185"/>
      <c r="G36" s="185"/>
      <c r="H36" s="185"/>
      <c r="I36" s="185"/>
      <c r="J36" s="186"/>
      <c r="L36" s="184"/>
      <c r="M36" s="185"/>
      <c r="N36" s="185"/>
      <c r="O36" s="185"/>
      <c r="P36" s="185"/>
      <c r="Q36" s="185"/>
      <c r="R36" s="185"/>
      <c r="S36" s="186"/>
    </row>
    <row r="37" spans="2:19" ht="15" thickBot="1" x14ac:dyDescent="0.35">
      <c r="B37" s="184"/>
      <c r="C37" s="185"/>
      <c r="D37" s="185"/>
      <c r="E37" s="185"/>
      <c r="F37" s="185"/>
      <c r="G37" s="185"/>
      <c r="H37" s="185"/>
      <c r="I37" s="185"/>
      <c r="J37" s="186"/>
      <c r="L37" s="187"/>
      <c r="M37" s="188"/>
      <c r="N37" s="188"/>
      <c r="O37" s="188"/>
      <c r="P37" s="188"/>
      <c r="Q37" s="188"/>
      <c r="R37" s="188"/>
      <c r="S37" s="189"/>
    </row>
    <row r="38" spans="2:19" ht="15" thickBot="1" x14ac:dyDescent="0.35">
      <c r="B38" s="184"/>
      <c r="C38" s="185"/>
      <c r="D38" s="185"/>
      <c r="E38" s="185"/>
      <c r="F38" s="185"/>
      <c r="G38" s="185"/>
      <c r="H38" s="185"/>
      <c r="I38" s="185"/>
      <c r="J38" s="186"/>
    </row>
    <row r="39" spans="2:19" ht="15" thickBot="1" x14ac:dyDescent="0.35">
      <c r="B39" s="184"/>
      <c r="C39" s="185"/>
      <c r="D39" s="185"/>
      <c r="E39" s="185"/>
      <c r="F39" s="185"/>
      <c r="G39" s="185"/>
      <c r="H39" s="185"/>
      <c r="I39" s="185"/>
      <c r="J39" s="186"/>
      <c r="L39" s="193" t="s">
        <v>421</v>
      </c>
      <c r="M39" s="194"/>
      <c r="N39" s="194"/>
      <c r="O39" s="194"/>
      <c r="P39" s="194"/>
      <c r="Q39" s="194"/>
      <c r="R39" s="194"/>
      <c r="S39" s="195"/>
    </row>
    <row r="40" spans="2:19" x14ac:dyDescent="0.3">
      <c r="B40" s="184"/>
      <c r="C40" s="185"/>
      <c r="D40" s="185"/>
      <c r="E40" s="185"/>
      <c r="F40" s="185"/>
      <c r="G40" s="185"/>
      <c r="H40" s="185"/>
      <c r="I40" s="185"/>
      <c r="J40" s="186"/>
      <c r="L40" s="181" t="s">
        <v>422</v>
      </c>
      <c r="M40" s="182"/>
      <c r="N40" s="182"/>
      <c r="O40" s="182"/>
      <c r="P40" s="182"/>
      <c r="Q40" s="182"/>
      <c r="R40" s="182"/>
      <c r="S40" s="183"/>
    </row>
    <row r="41" spans="2:19" x14ac:dyDescent="0.3">
      <c r="B41" s="184"/>
      <c r="C41" s="185"/>
      <c r="D41" s="185"/>
      <c r="E41" s="185"/>
      <c r="F41" s="185"/>
      <c r="G41" s="185"/>
      <c r="H41" s="185"/>
      <c r="I41" s="185"/>
      <c r="J41" s="186"/>
      <c r="L41" s="184"/>
      <c r="M41" s="185"/>
      <c r="N41" s="185"/>
      <c r="O41" s="185"/>
      <c r="P41" s="185"/>
      <c r="Q41" s="185"/>
      <c r="R41" s="185"/>
      <c r="S41" s="186"/>
    </row>
    <row r="42" spans="2:19" x14ac:dyDescent="0.3">
      <c r="B42" s="184"/>
      <c r="C42" s="185"/>
      <c r="D42" s="185"/>
      <c r="E42" s="185"/>
      <c r="F42" s="185"/>
      <c r="G42" s="185"/>
      <c r="H42" s="185"/>
      <c r="I42" s="185"/>
      <c r="J42" s="186"/>
      <c r="L42" s="184"/>
      <c r="M42" s="185"/>
      <c r="N42" s="185"/>
      <c r="O42" s="185"/>
      <c r="P42" s="185"/>
      <c r="Q42" s="185"/>
      <c r="R42" s="185"/>
      <c r="S42" s="186"/>
    </row>
    <row r="43" spans="2:19" ht="15" thickBot="1" x14ac:dyDescent="0.35">
      <c r="B43" s="187"/>
      <c r="C43" s="188"/>
      <c r="D43" s="188"/>
      <c r="E43" s="188"/>
      <c r="F43" s="188"/>
      <c r="G43" s="188"/>
      <c r="H43" s="188"/>
      <c r="I43" s="188"/>
      <c r="J43" s="189"/>
      <c r="L43" s="187"/>
      <c r="M43" s="188"/>
      <c r="N43" s="188"/>
      <c r="O43" s="188"/>
      <c r="P43" s="188"/>
      <c r="Q43" s="188"/>
      <c r="R43" s="188"/>
      <c r="S43" s="189"/>
    </row>
    <row r="44" spans="2:19" x14ac:dyDescent="0.3">
      <c r="B44" s="43"/>
      <c r="C44" s="43"/>
      <c r="D44" s="43"/>
      <c r="E44" s="43"/>
      <c r="F44" s="43"/>
      <c r="G44" s="43"/>
      <c r="H44" s="43"/>
      <c r="I44" s="43"/>
      <c r="J44" s="43"/>
    </row>
  </sheetData>
  <sheetProtection algorithmName="SHA-512" hashValue="FP6Voa+BWo868s5EFIU/q16+VYn4XK/Klc0VdgpN24v+1BwA72I+BJ23KO+PUcBaZ6J97CEWlHhstZdkcrG1xw==" saltValue="dfyrWccaZpk4m0ZKTaITHA==" spinCount="100000" sheet="1" objects="1" scenarios="1"/>
  <mergeCells count="15">
    <mergeCell ref="L39:S39"/>
    <mergeCell ref="L40:S43"/>
    <mergeCell ref="O2:S2"/>
    <mergeCell ref="P5:S10"/>
    <mergeCell ref="L4:S4"/>
    <mergeCell ref="L12:S21"/>
    <mergeCell ref="L23:S23"/>
    <mergeCell ref="L24:S37"/>
    <mergeCell ref="K2:N2"/>
    <mergeCell ref="L5:O10"/>
    <mergeCell ref="B23:J32"/>
    <mergeCell ref="B34:J43"/>
    <mergeCell ref="B2:J2"/>
    <mergeCell ref="B4:J11"/>
    <mergeCell ref="B15:J2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D6A66-6EC5-40A6-AFF9-6BBC1E06106C}">
  <sheetPr>
    <tabColor theme="5" tint="0.59999389629810485"/>
  </sheetPr>
  <dimension ref="B1:AX55"/>
  <sheetViews>
    <sheetView zoomScale="70" zoomScaleNormal="70" workbookViewId="0">
      <selection activeCell="K4" sqref="K4"/>
    </sheetView>
  </sheetViews>
  <sheetFormatPr baseColWidth="10" defaultRowHeight="14.4" x14ac:dyDescent="0.3"/>
  <cols>
    <col min="1" max="1" width="6.44140625" customWidth="1"/>
  </cols>
  <sheetData>
    <row r="1" spans="2:50" ht="15" thickBot="1" x14ac:dyDescent="0.35"/>
    <row r="2" spans="2:50" ht="106.2" customHeight="1" thickBot="1" x14ac:dyDescent="0.35">
      <c r="B2" s="190" t="s">
        <v>497</v>
      </c>
      <c r="C2" s="191"/>
      <c r="D2" s="191"/>
      <c r="E2" s="191"/>
      <c r="F2" s="191"/>
      <c r="G2" s="191"/>
      <c r="H2" s="191"/>
      <c r="I2" s="191"/>
      <c r="J2" s="192"/>
    </row>
    <row r="4" spans="2:50" ht="31.8" customHeight="1" x14ac:dyDescent="0.3">
      <c r="B4" s="217" t="s">
        <v>463</v>
      </c>
      <c r="C4" s="217"/>
      <c r="D4" s="217"/>
      <c r="E4" s="217"/>
      <c r="F4" s="217"/>
      <c r="G4" s="217"/>
      <c r="H4" s="217"/>
      <c r="I4" s="217"/>
      <c r="J4" s="217"/>
      <c r="L4" s="217" t="s">
        <v>467</v>
      </c>
      <c r="M4" s="217"/>
      <c r="N4" s="217"/>
      <c r="O4" s="217"/>
      <c r="P4" s="217"/>
      <c r="Q4" s="217"/>
      <c r="R4" s="217"/>
      <c r="S4" s="217"/>
      <c r="T4" s="217"/>
      <c r="V4" s="217" t="s">
        <v>468</v>
      </c>
      <c r="W4" s="217"/>
      <c r="X4" s="217"/>
      <c r="Y4" s="217"/>
      <c r="Z4" s="217"/>
      <c r="AA4" s="217"/>
      <c r="AB4" s="217"/>
      <c r="AC4" s="217"/>
      <c r="AD4" s="217"/>
      <c r="AF4" s="217" t="s">
        <v>469</v>
      </c>
      <c r="AG4" s="217"/>
      <c r="AH4" s="217"/>
      <c r="AI4" s="217"/>
      <c r="AJ4" s="217"/>
      <c r="AK4" s="217"/>
      <c r="AL4" s="217"/>
      <c r="AM4" s="217"/>
      <c r="AN4" s="217"/>
      <c r="AP4" s="217" t="s">
        <v>470</v>
      </c>
      <c r="AQ4" s="217"/>
      <c r="AR4" s="217"/>
      <c r="AS4" s="217"/>
      <c r="AT4" s="217"/>
      <c r="AU4" s="217"/>
      <c r="AV4" s="217"/>
      <c r="AW4" s="217"/>
      <c r="AX4" s="217"/>
    </row>
    <row r="5" spans="2:50" x14ac:dyDescent="0.3">
      <c r="B5" s="218"/>
      <c r="C5" s="218"/>
      <c r="D5" s="218"/>
      <c r="E5" s="218"/>
      <c r="F5" s="218"/>
      <c r="G5" s="218"/>
      <c r="H5" s="218"/>
      <c r="I5" s="218"/>
      <c r="J5" s="218"/>
      <c r="L5" s="218"/>
      <c r="M5" s="218"/>
      <c r="N5" s="218"/>
      <c r="O5" s="218"/>
      <c r="P5" s="218"/>
      <c r="Q5" s="218"/>
      <c r="R5" s="218"/>
      <c r="S5" s="218"/>
      <c r="T5" s="218"/>
      <c r="V5" s="218"/>
      <c r="W5" s="218"/>
      <c r="X5" s="218"/>
      <c r="Y5" s="218"/>
      <c r="Z5" s="218"/>
      <c r="AA5" s="218"/>
      <c r="AB5" s="218"/>
      <c r="AC5" s="218"/>
      <c r="AD5" s="218"/>
      <c r="AF5" s="218"/>
      <c r="AG5" s="218"/>
      <c r="AH5" s="218"/>
      <c r="AI5" s="218"/>
      <c r="AJ5" s="218"/>
      <c r="AK5" s="218"/>
      <c r="AL5" s="218"/>
      <c r="AM5" s="218"/>
      <c r="AN5" s="218"/>
      <c r="AP5" s="218"/>
      <c r="AQ5" s="218"/>
      <c r="AR5" s="218"/>
      <c r="AS5" s="218"/>
      <c r="AT5" s="218"/>
      <c r="AU5" s="218"/>
      <c r="AV5" s="218"/>
      <c r="AW5" s="218"/>
      <c r="AX5" s="218"/>
    </row>
    <row r="6" spans="2:50" x14ac:dyDescent="0.3">
      <c r="B6" s="218"/>
      <c r="C6" s="218"/>
      <c r="D6" s="218"/>
      <c r="E6" s="218"/>
      <c r="F6" s="218"/>
      <c r="G6" s="218"/>
      <c r="H6" s="218"/>
      <c r="I6" s="218"/>
      <c r="J6" s="218"/>
      <c r="L6" s="218"/>
      <c r="M6" s="218"/>
      <c r="N6" s="218"/>
      <c r="O6" s="218"/>
      <c r="P6" s="218"/>
      <c r="Q6" s="218"/>
      <c r="R6" s="218"/>
      <c r="S6" s="218"/>
      <c r="T6" s="218"/>
      <c r="V6" s="218"/>
      <c r="W6" s="218"/>
      <c r="X6" s="218"/>
      <c r="Y6" s="218"/>
      <c r="Z6" s="218"/>
      <c r="AA6" s="218"/>
      <c r="AB6" s="218"/>
      <c r="AC6" s="218"/>
      <c r="AD6" s="218"/>
      <c r="AF6" s="218"/>
      <c r="AG6" s="218"/>
      <c r="AH6" s="218"/>
      <c r="AI6" s="218"/>
      <c r="AJ6" s="218"/>
      <c r="AK6" s="218"/>
      <c r="AL6" s="218"/>
      <c r="AM6" s="218"/>
      <c r="AN6" s="218"/>
      <c r="AP6" s="218"/>
      <c r="AQ6" s="218"/>
      <c r="AR6" s="218"/>
      <c r="AS6" s="218"/>
      <c r="AT6" s="218"/>
      <c r="AU6" s="218"/>
      <c r="AV6" s="218"/>
      <c r="AW6" s="218"/>
      <c r="AX6" s="218"/>
    </row>
    <row r="7" spans="2:50" x14ac:dyDescent="0.3">
      <c r="B7" s="218"/>
      <c r="C7" s="218"/>
      <c r="D7" s="218"/>
      <c r="E7" s="218"/>
      <c r="F7" s="218"/>
      <c r="G7" s="218"/>
      <c r="H7" s="218"/>
      <c r="I7" s="218"/>
      <c r="J7" s="218"/>
      <c r="L7" s="218"/>
      <c r="M7" s="218"/>
      <c r="N7" s="218"/>
      <c r="O7" s="218"/>
      <c r="P7" s="218"/>
      <c r="Q7" s="218"/>
      <c r="R7" s="218"/>
      <c r="S7" s="218"/>
      <c r="T7" s="218"/>
      <c r="V7" s="218"/>
      <c r="W7" s="218"/>
      <c r="X7" s="218"/>
      <c r="Y7" s="218"/>
      <c r="Z7" s="218"/>
      <c r="AA7" s="218"/>
      <c r="AB7" s="218"/>
      <c r="AC7" s="218"/>
      <c r="AD7" s="218"/>
      <c r="AF7" s="218"/>
      <c r="AG7" s="218"/>
      <c r="AH7" s="218"/>
      <c r="AI7" s="218"/>
      <c r="AJ7" s="218"/>
      <c r="AK7" s="218"/>
      <c r="AL7" s="218"/>
      <c r="AM7" s="218"/>
      <c r="AN7" s="218"/>
      <c r="AP7" s="218"/>
      <c r="AQ7" s="218"/>
      <c r="AR7" s="218"/>
      <c r="AS7" s="218"/>
      <c r="AT7" s="218"/>
      <c r="AU7" s="218"/>
      <c r="AV7" s="218"/>
      <c r="AW7" s="218"/>
      <c r="AX7" s="218"/>
    </row>
    <row r="8" spans="2:50" x14ac:dyDescent="0.3">
      <c r="B8" s="218"/>
      <c r="C8" s="218"/>
      <c r="D8" s="218"/>
      <c r="E8" s="218"/>
      <c r="F8" s="218"/>
      <c r="G8" s="218"/>
      <c r="H8" s="218"/>
      <c r="I8" s="218"/>
      <c r="J8" s="218"/>
      <c r="L8" s="218"/>
      <c r="M8" s="218"/>
      <c r="N8" s="218"/>
      <c r="O8" s="218"/>
      <c r="P8" s="218"/>
      <c r="Q8" s="218"/>
      <c r="R8" s="218"/>
      <c r="S8" s="218"/>
      <c r="T8" s="218"/>
      <c r="V8" s="218"/>
      <c r="W8" s="218"/>
      <c r="X8" s="218"/>
      <c r="Y8" s="218"/>
      <c r="Z8" s="218"/>
      <c r="AA8" s="218"/>
      <c r="AB8" s="218"/>
      <c r="AC8" s="218"/>
      <c r="AD8" s="218"/>
      <c r="AF8" s="218"/>
      <c r="AG8" s="218"/>
      <c r="AH8" s="218"/>
      <c r="AI8" s="218"/>
      <c r="AJ8" s="218"/>
      <c r="AK8" s="218"/>
      <c r="AL8" s="218"/>
      <c r="AM8" s="218"/>
      <c r="AN8" s="218"/>
      <c r="AP8" s="218"/>
      <c r="AQ8" s="218"/>
      <c r="AR8" s="218"/>
      <c r="AS8" s="218"/>
      <c r="AT8" s="218"/>
      <c r="AU8" s="218"/>
      <c r="AV8" s="218"/>
      <c r="AW8" s="218"/>
      <c r="AX8" s="218"/>
    </row>
    <row r="9" spans="2:50" x14ac:dyDescent="0.3">
      <c r="B9" s="218"/>
      <c r="C9" s="218"/>
      <c r="D9" s="218"/>
      <c r="E9" s="218"/>
      <c r="F9" s="218"/>
      <c r="G9" s="218"/>
      <c r="H9" s="218"/>
      <c r="I9" s="218"/>
      <c r="J9" s="218"/>
      <c r="L9" s="218"/>
      <c r="M9" s="218"/>
      <c r="N9" s="218"/>
      <c r="O9" s="218"/>
      <c r="P9" s="218"/>
      <c r="Q9" s="218"/>
      <c r="R9" s="218"/>
      <c r="S9" s="218"/>
      <c r="T9" s="218"/>
      <c r="V9" s="218"/>
      <c r="W9" s="218"/>
      <c r="X9" s="218"/>
      <c r="Y9" s="218"/>
      <c r="Z9" s="218"/>
      <c r="AA9" s="218"/>
      <c r="AB9" s="218"/>
      <c r="AC9" s="218"/>
      <c r="AD9" s="218"/>
      <c r="AF9" s="218"/>
      <c r="AG9" s="218"/>
      <c r="AH9" s="218"/>
      <c r="AI9" s="218"/>
      <c r="AJ9" s="218"/>
      <c r="AK9" s="218"/>
      <c r="AL9" s="218"/>
      <c r="AM9" s="218"/>
      <c r="AN9" s="218"/>
      <c r="AP9" s="218"/>
      <c r="AQ9" s="218"/>
      <c r="AR9" s="218"/>
      <c r="AS9" s="218"/>
      <c r="AT9" s="218"/>
      <c r="AU9" s="218"/>
      <c r="AV9" s="218"/>
      <c r="AW9" s="218"/>
      <c r="AX9" s="218"/>
    </row>
    <row r="10" spans="2:50" x14ac:dyDescent="0.3">
      <c r="B10" s="218"/>
      <c r="C10" s="218"/>
      <c r="D10" s="218"/>
      <c r="E10" s="218"/>
      <c r="F10" s="218"/>
      <c r="G10" s="218"/>
      <c r="H10" s="218"/>
      <c r="I10" s="218"/>
      <c r="J10" s="218"/>
      <c r="L10" s="218"/>
      <c r="M10" s="218"/>
      <c r="N10" s="218"/>
      <c r="O10" s="218"/>
      <c r="P10" s="218"/>
      <c r="Q10" s="218"/>
      <c r="R10" s="218"/>
      <c r="S10" s="218"/>
      <c r="T10" s="218"/>
      <c r="V10" s="218"/>
      <c r="W10" s="218"/>
      <c r="X10" s="218"/>
      <c r="Y10" s="218"/>
      <c r="Z10" s="218"/>
      <c r="AA10" s="218"/>
      <c r="AB10" s="218"/>
      <c r="AC10" s="218"/>
      <c r="AD10" s="218"/>
      <c r="AF10" s="218"/>
      <c r="AG10" s="218"/>
      <c r="AH10" s="218"/>
      <c r="AI10" s="218"/>
      <c r="AJ10" s="218"/>
      <c r="AK10" s="218"/>
      <c r="AL10" s="218"/>
      <c r="AM10" s="218"/>
      <c r="AN10" s="218"/>
      <c r="AP10" s="218"/>
      <c r="AQ10" s="218"/>
      <c r="AR10" s="218"/>
      <c r="AS10" s="218"/>
      <c r="AT10" s="218"/>
      <c r="AU10" s="218"/>
      <c r="AV10" s="218"/>
      <c r="AW10" s="218"/>
      <c r="AX10" s="218"/>
    </row>
    <row r="11" spans="2:50" x14ac:dyDescent="0.3">
      <c r="B11" s="218"/>
      <c r="C11" s="218"/>
      <c r="D11" s="218"/>
      <c r="E11" s="218"/>
      <c r="F11" s="218"/>
      <c r="G11" s="218"/>
      <c r="H11" s="218"/>
      <c r="I11" s="218"/>
      <c r="J11" s="218"/>
      <c r="L11" s="218"/>
      <c r="M11" s="218"/>
      <c r="N11" s="218"/>
      <c r="O11" s="218"/>
      <c r="P11" s="218"/>
      <c r="Q11" s="218"/>
      <c r="R11" s="218"/>
      <c r="S11" s="218"/>
      <c r="T11" s="218"/>
      <c r="V11" s="218"/>
      <c r="W11" s="218"/>
      <c r="X11" s="218"/>
      <c r="Y11" s="218"/>
      <c r="Z11" s="218"/>
      <c r="AA11" s="218"/>
      <c r="AB11" s="218"/>
      <c r="AC11" s="218"/>
      <c r="AD11" s="218"/>
      <c r="AF11" s="218"/>
      <c r="AG11" s="218"/>
      <c r="AH11" s="218"/>
      <c r="AI11" s="218"/>
      <c r="AJ11" s="218"/>
      <c r="AK11" s="218"/>
      <c r="AL11" s="218"/>
      <c r="AM11" s="218"/>
      <c r="AN11" s="218"/>
      <c r="AP11" s="218"/>
      <c r="AQ11" s="218"/>
      <c r="AR11" s="218"/>
      <c r="AS11" s="218"/>
      <c r="AT11" s="218"/>
      <c r="AU11" s="218"/>
      <c r="AV11" s="218"/>
      <c r="AW11" s="218"/>
      <c r="AX11" s="218"/>
    </row>
    <row r="12" spans="2:50" x14ac:dyDescent="0.3">
      <c r="B12" s="218"/>
      <c r="C12" s="218"/>
      <c r="D12" s="218"/>
      <c r="E12" s="218"/>
      <c r="F12" s="218"/>
      <c r="G12" s="218"/>
      <c r="H12" s="218"/>
      <c r="I12" s="218"/>
      <c r="J12" s="218"/>
      <c r="L12" s="218"/>
      <c r="M12" s="218"/>
      <c r="N12" s="218"/>
      <c r="O12" s="218"/>
      <c r="P12" s="218"/>
      <c r="Q12" s="218"/>
      <c r="R12" s="218"/>
      <c r="S12" s="218"/>
      <c r="T12" s="218"/>
      <c r="V12" s="218"/>
      <c r="W12" s="218"/>
      <c r="X12" s="218"/>
      <c r="Y12" s="218"/>
      <c r="Z12" s="218"/>
      <c r="AA12" s="218"/>
      <c r="AB12" s="218"/>
      <c r="AC12" s="218"/>
      <c r="AD12" s="218"/>
      <c r="AF12" s="218"/>
      <c r="AG12" s="218"/>
      <c r="AH12" s="218"/>
      <c r="AI12" s="218"/>
      <c r="AJ12" s="218"/>
      <c r="AK12" s="218"/>
      <c r="AL12" s="218"/>
      <c r="AM12" s="218"/>
      <c r="AN12" s="218"/>
      <c r="AP12" s="218"/>
      <c r="AQ12" s="218"/>
      <c r="AR12" s="218"/>
      <c r="AS12" s="218"/>
      <c r="AT12" s="218"/>
      <c r="AU12" s="218"/>
      <c r="AV12" s="218"/>
      <c r="AW12" s="218"/>
      <c r="AX12" s="218"/>
    </row>
    <row r="13" spans="2:50" x14ac:dyDescent="0.3">
      <c r="B13" s="218"/>
      <c r="C13" s="218"/>
      <c r="D13" s="218"/>
      <c r="E13" s="218"/>
      <c r="F13" s="218"/>
      <c r="G13" s="218"/>
      <c r="H13" s="218"/>
      <c r="I13" s="218"/>
      <c r="J13" s="218"/>
      <c r="L13" s="218"/>
      <c r="M13" s="218"/>
      <c r="N13" s="218"/>
      <c r="O13" s="218"/>
      <c r="P13" s="218"/>
      <c r="Q13" s="218"/>
      <c r="R13" s="218"/>
      <c r="S13" s="218"/>
      <c r="T13" s="218"/>
      <c r="V13" s="218"/>
      <c r="W13" s="218"/>
      <c r="X13" s="218"/>
      <c r="Y13" s="218"/>
      <c r="Z13" s="218"/>
      <c r="AA13" s="218"/>
      <c r="AB13" s="218"/>
      <c r="AC13" s="218"/>
      <c r="AD13" s="218"/>
      <c r="AF13" s="218"/>
      <c r="AG13" s="218"/>
      <c r="AH13" s="218"/>
      <c r="AI13" s="218"/>
      <c r="AJ13" s="218"/>
      <c r="AK13" s="218"/>
      <c r="AL13" s="218"/>
      <c r="AM13" s="218"/>
      <c r="AN13" s="218"/>
      <c r="AP13" s="218"/>
      <c r="AQ13" s="218"/>
      <c r="AR13" s="218"/>
      <c r="AS13" s="218"/>
      <c r="AT13" s="218"/>
      <c r="AU13" s="218"/>
      <c r="AV13" s="218"/>
      <c r="AW13" s="218"/>
      <c r="AX13" s="218"/>
    </row>
    <row r="14" spans="2:50" x14ac:dyDescent="0.3">
      <c r="B14" s="218"/>
      <c r="C14" s="218"/>
      <c r="D14" s="218"/>
      <c r="E14" s="218"/>
      <c r="F14" s="218"/>
      <c r="G14" s="218"/>
      <c r="H14" s="218"/>
      <c r="I14" s="218"/>
      <c r="J14" s="218"/>
      <c r="L14" s="218"/>
      <c r="M14" s="218"/>
      <c r="N14" s="218"/>
      <c r="O14" s="218"/>
      <c r="P14" s="218"/>
      <c r="Q14" s="218"/>
      <c r="R14" s="218"/>
      <c r="S14" s="218"/>
      <c r="T14" s="218"/>
      <c r="V14" s="218"/>
      <c r="W14" s="218"/>
      <c r="X14" s="218"/>
      <c r="Y14" s="218"/>
      <c r="Z14" s="218"/>
      <c r="AA14" s="218"/>
      <c r="AB14" s="218"/>
      <c r="AC14" s="218"/>
      <c r="AD14" s="218"/>
      <c r="AF14" s="218"/>
      <c r="AG14" s="218"/>
      <c r="AH14" s="218"/>
      <c r="AI14" s="218"/>
      <c r="AJ14" s="218"/>
      <c r="AK14" s="218"/>
      <c r="AL14" s="218"/>
      <c r="AM14" s="218"/>
      <c r="AN14" s="218"/>
      <c r="AP14" s="218"/>
      <c r="AQ14" s="218"/>
      <c r="AR14" s="218"/>
      <c r="AS14" s="218"/>
      <c r="AT14" s="218"/>
      <c r="AU14" s="218"/>
      <c r="AV14" s="218"/>
      <c r="AW14" s="218"/>
      <c r="AX14" s="218"/>
    </row>
    <row r="15" spans="2:50" x14ac:dyDescent="0.3">
      <c r="B15" s="218"/>
      <c r="C15" s="218"/>
      <c r="D15" s="218"/>
      <c r="E15" s="218"/>
      <c r="F15" s="218"/>
      <c r="G15" s="218"/>
      <c r="H15" s="218"/>
      <c r="I15" s="218"/>
      <c r="J15" s="218"/>
      <c r="L15" s="218"/>
      <c r="M15" s="218"/>
      <c r="N15" s="218"/>
      <c r="O15" s="218"/>
      <c r="P15" s="218"/>
      <c r="Q15" s="218"/>
      <c r="R15" s="218"/>
      <c r="S15" s="218"/>
      <c r="T15" s="218"/>
      <c r="V15" s="218"/>
      <c r="W15" s="218"/>
      <c r="X15" s="218"/>
      <c r="Y15" s="218"/>
      <c r="Z15" s="218"/>
      <c r="AA15" s="218"/>
      <c r="AB15" s="218"/>
      <c r="AC15" s="218"/>
      <c r="AD15" s="218"/>
      <c r="AF15" s="218"/>
      <c r="AG15" s="218"/>
      <c r="AH15" s="218"/>
      <c r="AI15" s="218"/>
      <c r="AJ15" s="218"/>
      <c r="AK15" s="218"/>
      <c r="AL15" s="218"/>
      <c r="AM15" s="218"/>
      <c r="AN15" s="218"/>
      <c r="AP15" s="218"/>
      <c r="AQ15" s="218"/>
      <c r="AR15" s="218"/>
      <c r="AS15" s="218"/>
      <c r="AT15" s="218"/>
      <c r="AU15" s="218"/>
      <c r="AV15" s="218"/>
      <c r="AW15" s="218"/>
      <c r="AX15" s="218"/>
    </row>
    <row r="16" spans="2:50" x14ac:dyDescent="0.3">
      <c r="B16" s="218"/>
      <c r="C16" s="218"/>
      <c r="D16" s="218"/>
      <c r="E16" s="218"/>
      <c r="F16" s="218"/>
      <c r="G16" s="218"/>
      <c r="H16" s="218"/>
      <c r="I16" s="218"/>
      <c r="J16" s="218"/>
      <c r="L16" s="218"/>
      <c r="M16" s="218"/>
      <c r="N16" s="218"/>
      <c r="O16" s="218"/>
      <c r="P16" s="218"/>
      <c r="Q16" s="218"/>
      <c r="R16" s="218"/>
      <c r="S16" s="218"/>
      <c r="T16" s="218"/>
      <c r="V16" s="218"/>
      <c r="W16" s="218"/>
      <c r="X16" s="218"/>
      <c r="Y16" s="218"/>
      <c r="Z16" s="218"/>
      <c r="AA16" s="218"/>
      <c r="AB16" s="218"/>
      <c r="AC16" s="218"/>
      <c r="AD16" s="218"/>
      <c r="AF16" s="218"/>
      <c r="AG16" s="218"/>
      <c r="AH16" s="218"/>
      <c r="AI16" s="218"/>
      <c r="AJ16" s="218"/>
      <c r="AK16" s="218"/>
      <c r="AL16" s="218"/>
      <c r="AM16" s="218"/>
      <c r="AN16" s="218"/>
      <c r="AP16" s="218"/>
      <c r="AQ16" s="218"/>
      <c r="AR16" s="218"/>
      <c r="AS16" s="218"/>
      <c r="AT16" s="218"/>
      <c r="AU16" s="218"/>
      <c r="AV16" s="218"/>
      <c r="AW16" s="218"/>
      <c r="AX16" s="218"/>
    </row>
    <row r="17" spans="2:50" x14ac:dyDescent="0.3">
      <c r="B17" s="218"/>
      <c r="C17" s="218"/>
      <c r="D17" s="218"/>
      <c r="E17" s="218"/>
      <c r="F17" s="218"/>
      <c r="G17" s="218"/>
      <c r="H17" s="218"/>
      <c r="I17" s="218"/>
      <c r="J17" s="218"/>
      <c r="L17" s="218"/>
      <c r="M17" s="218"/>
      <c r="N17" s="218"/>
      <c r="O17" s="218"/>
      <c r="P17" s="218"/>
      <c r="Q17" s="218"/>
      <c r="R17" s="218"/>
      <c r="S17" s="218"/>
      <c r="T17" s="218"/>
      <c r="V17" s="218"/>
      <c r="W17" s="218"/>
      <c r="X17" s="218"/>
      <c r="Y17" s="218"/>
      <c r="Z17" s="218"/>
      <c r="AA17" s="218"/>
      <c r="AB17" s="218"/>
      <c r="AC17" s="218"/>
      <c r="AD17" s="218"/>
      <c r="AF17" s="218"/>
      <c r="AG17" s="218"/>
      <c r="AH17" s="218"/>
      <c r="AI17" s="218"/>
      <c r="AJ17" s="218"/>
      <c r="AK17" s="218"/>
      <c r="AL17" s="218"/>
      <c r="AM17" s="218"/>
      <c r="AN17" s="218"/>
      <c r="AP17" s="218"/>
      <c r="AQ17" s="218"/>
      <c r="AR17" s="218"/>
      <c r="AS17" s="218"/>
      <c r="AT17" s="218"/>
      <c r="AU17" s="218"/>
      <c r="AV17" s="218"/>
      <c r="AW17" s="218"/>
      <c r="AX17" s="218"/>
    </row>
    <row r="18" spans="2:50" x14ac:dyDescent="0.3">
      <c r="B18" s="219"/>
      <c r="C18" s="219"/>
      <c r="D18" s="219"/>
      <c r="E18" s="219"/>
      <c r="F18" s="219"/>
      <c r="G18" s="219"/>
      <c r="H18" s="219"/>
      <c r="I18" s="219"/>
      <c r="J18" s="219"/>
      <c r="L18" s="219"/>
      <c r="M18" s="219"/>
      <c r="N18" s="219"/>
      <c r="O18" s="219"/>
      <c r="P18" s="219"/>
      <c r="Q18" s="219"/>
      <c r="R18" s="219"/>
      <c r="S18" s="219"/>
      <c r="T18" s="219"/>
      <c r="V18" s="219"/>
      <c r="W18" s="219"/>
      <c r="X18" s="219"/>
      <c r="Y18" s="219"/>
      <c r="Z18" s="219"/>
      <c r="AA18" s="219"/>
      <c r="AB18" s="219"/>
      <c r="AC18" s="219"/>
      <c r="AD18" s="219"/>
      <c r="AF18" s="219"/>
      <c r="AG18" s="219"/>
      <c r="AH18" s="219"/>
      <c r="AI18" s="219"/>
      <c r="AJ18" s="219"/>
      <c r="AK18" s="219"/>
      <c r="AL18" s="219"/>
      <c r="AM18" s="219"/>
      <c r="AN18" s="219"/>
      <c r="AP18" s="219"/>
      <c r="AQ18" s="219"/>
      <c r="AR18" s="219"/>
      <c r="AS18" s="219"/>
      <c r="AT18" s="219"/>
      <c r="AU18" s="219"/>
      <c r="AV18" s="219"/>
      <c r="AW18" s="219"/>
      <c r="AX18" s="219"/>
    </row>
    <row r="19" spans="2:50" x14ac:dyDescent="0.3">
      <c r="B19" s="219"/>
      <c r="C19" s="219"/>
      <c r="D19" s="219"/>
      <c r="E19" s="219"/>
      <c r="F19" s="219"/>
      <c r="G19" s="219"/>
      <c r="H19" s="219"/>
      <c r="I19" s="219"/>
      <c r="J19" s="219"/>
      <c r="L19" s="219"/>
      <c r="M19" s="219"/>
      <c r="N19" s="219"/>
      <c r="O19" s="219"/>
      <c r="P19" s="219"/>
      <c r="Q19" s="219"/>
      <c r="R19" s="219"/>
      <c r="S19" s="219"/>
      <c r="T19" s="219"/>
      <c r="V19" s="219"/>
      <c r="W19" s="219"/>
      <c r="X19" s="219"/>
      <c r="Y19" s="219"/>
      <c r="Z19" s="219"/>
      <c r="AA19" s="219"/>
      <c r="AB19" s="219"/>
      <c r="AC19" s="219"/>
      <c r="AD19" s="219"/>
      <c r="AF19" s="219"/>
      <c r="AG19" s="219"/>
      <c r="AH19" s="219"/>
      <c r="AI19" s="219"/>
      <c r="AJ19" s="219"/>
      <c r="AK19" s="219"/>
      <c r="AL19" s="219"/>
      <c r="AM19" s="219"/>
      <c r="AN19" s="219"/>
      <c r="AP19" s="219"/>
      <c r="AQ19" s="219"/>
      <c r="AR19" s="219"/>
      <c r="AS19" s="219"/>
      <c r="AT19" s="219"/>
      <c r="AU19" s="219"/>
      <c r="AV19" s="219"/>
      <c r="AW19" s="219"/>
      <c r="AX19" s="219"/>
    </row>
    <row r="20" spans="2:50" x14ac:dyDescent="0.3">
      <c r="B20" s="219"/>
      <c r="C20" s="219"/>
      <c r="D20" s="219"/>
      <c r="E20" s="219"/>
      <c r="F20" s="219"/>
      <c r="G20" s="219"/>
      <c r="H20" s="219"/>
      <c r="I20" s="219"/>
      <c r="J20" s="219"/>
      <c r="L20" s="219"/>
      <c r="M20" s="219"/>
      <c r="N20" s="219"/>
      <c r="O20" s="219"/>
      <c r="P20" s="219"/>
      <c r="Q20" s="219"/>
      <c r="R20" s="219"/>
      <c r="S20" s="219"/>
      <c r="T20" s="219"/>
      <c r="V20" s="219"/>
      <c r="W20" s="219"/>
      <c r="X20" s="219"/>
      <c r="Y20" s="219"/>
      <c r="Z20" s="219"/>
      <c r="AA20" s="219"/>
      <c r="AB20" s="219"/>
      <c r="AC20" s="219"/>
      <c r="AD20" s="219"/>
      <c r="AF20" s="219"/>
      <c r="AG20" s="219"/>
      <c r="AH20" s="219"/>
      <c r="AI20" s="219"/>
      <c r="AJ20" s="219"/>
      <c r="AK20" s="219"/>
      <c r="AL20" s="219"/>
      <c r="AM20" s="219"/>
      <c r="AN20" s="219"/>
      <c r="AP20" s="219"/>
      <c r="AQ20" s="219"/>
      <c r="AR20" s="219"/>
      <c r="AS20" s="219"/>
      <c r="AT20" s="219"/>
      <c r="AU20" s="219"/>
      <c r="AV20" s="219"/>
      <c r="AW20" s="219"/>
      <c r="AX20" s="219"/>
    </row>
    <row r="21" spans="2:50" x14ac:dyDescent="0.3">
      <c r="B21" s="219"/>
      <c r="C21" s="219"/>
      <c r="D21" s="219"/>
      <c r="E21" s="219"/>
      <c r="F21" s="219"/>
      <c r="G21" s="219"/>
      <c r="H21" s="219"/>
      <c r="I21" s="219"/>
      <c r="J21" s="219"/>
      <c r="L21" s="219"/>
      <c r="M21" s="219"/>
      <c r="N21" s="219"/>
      <c r="O21" s="219"/>
      <c r="P21" s="219"/>
      <c r="Q21" s="219"/>
      <c r="R21" s="219"/>
      <c r="S21" s="219"/>
      <c r="T21" s="219"/>
      <c r="V21" s="219"/>
      <c r="W21" s="219"/>
      <c r="X21" s="219"/>
      <c r="Y21" s="219"/>
      <c r="Z21" s="219"/>
      <c r="AA21" s="219"/>
      <c r="AB21" s="219"/>
      <c r="AC21" s="219"/>
      <c r="AD21" s="219"/>
      <c r="AF21" s="219"/>
      <c r="AG21" s="219"/>
      <c r="AH21" s="219"/>
      <c r="AI21" s="219"/>
      <c r="AJ21" s="219"/>
      <c r="AK21" s="219"/>
      <c r="AL21" s="219"/>
      <c r="AM21" s="219"/>
      <c r="AN21" s="219"/>
      <c r="AP21" s="219"/>
      <c r="AQ21" s="219"/>
      <c r="AR21" s="219"/>
      <c r="AS21" s="219"/>
      <c r="AT21" s="219"/>
      <c r="AU21" s="219"/>
      <c r="AV21" s="219"/>
      <c r="AW21" s="219"/>
      <c r="AX21" s="219"/>
    </row>
    <row r="22" spans="2:50" x14ac:dyDescent="0.3">
      <c r="B22" s="219"/>
      <c r="C22" s="219"/>
      <c r="D22" s="219"/>
      <c r="E22" s="219"/>
      <c r="F22" s="219"/>
      <c r="G22" s="219"/>
      <c r="H22" s="219"/>
      <c r="I22" s="219"/>
      <c r="J22" s="219"/>
      <c r="L22" s="219"/>
      <c r="M22" s="219"/>
      <c r="N22" s="219"/>
      <c r="O22" s="219"/>
      <c r="P22" s="219"/>
      <c r="Q22" s="219"/>
      <c r="R22" s="219"/>
      <c r="S22" s="219"/>
      <c r="T22" s="219"/>
      <c r="V22" s="219"/>
      <c r="W22" s="219"/>
      <c r="X22" s="219"/>
      <c r="Y22" s="219"/>
      <c r="Z22" s="219"/>
      <c r="AA22" s="219"/>
      <c r="AB22" s="219"/>
      <c r="AC22" s="219"/>
      <c r="AD22" s="219"/>
      <c r="AF22" s="219"/>
      <c r="AG22" s="219"/>
      <c r="AH22" s="219"/>
      <c r="AI22" s="219"/>
      <c r="AJ22" s="219"/>
      <c r="AK22" s="219"/>
      <c r="AL22" s="219"/>
      <c r="AM22" s="219"/>
      <c r="AN22" s="219"/>
      <c r="AP22" s="219"/>
      <c r="AQ22" s="219"/>
      <c r="AR22" s="219"/>
      <c r="AS22" s="219"/>
      <c r="AT22" s="219"/>
      <c r="AU22" s="219"/>
      <c r="AV22" s="219"/>
      <c r="AW22" s="219"/>
      <c r="AX22" s="219"/>
    </row>
    <row r="23" spans="2:50" x14ac:dyDescent="0.3">
      <c r="B23" s="219"/>
      <c r="C23" s="219"/>
      <c r="D23" s="219"/>
      <c r="E23" s="219"/>
      <c r="F23" s="219"/>
      <c r="G23" s="219"/>
      <c r="H23" s="219"/>
      <c r="I23" s="219"/>
      <c r="J23" s="219"/>
      <c r="L23" s="219"/>
      <c r="M23" s="219"/>
      <c r="N23" s="219"/>
      <c r="O23" s="219"/>
      <c r="P23" s="219"/>
      <c r="Q23" s="219"/>
      <c r="R23" s="219"/>
      <c r="S23" s="219"/>
      <c r="T23" s="219"/>
      <c r="V23" s="219"/>
      <c r="W23" s="219"/>
      <c r="X23" s="219"/>
      <c r="Y23" s="219"/>
      <c r="Z23" s="219"/>
      <c r="AA23" s="219"/>
      <c r="AB23" s="219"/>
      <c r="AC23" s="219"/>
      <c r="AD23" s="219"/>
      <c r="AF23" s="219"/>
      <c r="AG23" s="219"/>
      <c r="AH23" s="219"/>
      <c r="AI23" s="219"/>
      <c r="AJ23" s="219"/>
      <c r="AK23" s="219"/>
      <c r="AL23" s="219"/>
      <c r="AM23" s="219"/>
      <c r="AN23" s="219"/>
      <c r="AP23" s="219"/>
      <c r="AQ23" s="219"/>
      <c r="AR23" s="219"/>
      <c r="AS23" s="219"/>
      <c r="AT23" s="219"/>
      <c r="AU23" s="219"/>
      <c r="AV23" s="219"/>
      <c r="AW23" s="219"/>
      <c r="AX23" s="219"/>
    </row>
    <row r="24" spans="2:50" x14ac:dyDescent="0.3">
      <c r="B24" s="219"/>
      <c r="C24" s="219"/>
      <c r="D24" s="219"/>
      <c r="E24" s="219"/>
      <c r="F24" s="219"/>
      <c r="G24" s="219"/>
      <c r="H24" s="219"/>
      <c r="I24" s="219"/>
      <c r="J24" s="219"/>
      <c r="L24" s="219"/>
      <c r="M24" s="219"/>
      <c r="N24" s="219"/>
      <c r="O24" s="219"/>
      <c r="P24" s="219"/>
      <c r="Q24" s="219"/>
      <c r="R24" s="219"/>
      <c r="S24" s="219"/>
      <c r="T24" s="219"/>
      <c r="V24" s="219"/>
      <c r="W24" s="219"/>
      <c r="X24" s="219"/>
      <c r="Y24" s="219"/>
      <c r="Z24" s="219"/>
      <c r="AA24" s="219"/>
      <c r="AB24" s="219"/>
      <c r="AC24" s="219"/>
      <c r="AD24" s="219"/>
      <c r="AF24" s="219"/>
      <c r="AG24" s="219"/>
      <c r="AH24" s="219"/>
      <c r="AI24" s="219"/>
      <c r="AJ24" s="219"/>
      <c r="AK24" s="219"/>
      <c r="AL24" s="219"/>
      <c r="AM24" s="219"/>
      <c r="AN24" s="219"/>
      <c r="AP24" s="219"/>
      <c r="AQ24" s="219"/>
      <c r="AR24" s="219"/>
      <c r="AS24" s="219"/>
      <c r="AT24" s="219"/>
      <c r="AU24" s="219"/>
      <c r="AV24" s="219"/>
      <c r="AW24" s="219"/>
      <c r="AX24" s="219"/>
    </row>
    <row r="25" spans="2:50" x14ac:dyDescent="0.3">
      <c r="B25" s="219"/>
      <c r="C25" s="219"/>
      <c r="D25" s="219"/>
      <c r="E25" s="219"/>
      <c r="F25" s="219"/>
      <c r="G25" s="219"/>
      <c r="H25" s="219"/>
      <c r="I25" s="219"/>
      <c r="J25" s="219"/>
      <c r="L25" s="219"/>
      <c r="M25" s="219"/>
      <c r="N25" s="219"/>
      <c r="O25" s="219"/>
      <c r="P25" s="219"/>
      <c r="Q25" s="219"/>
      <c r="R25" s="219"/>
      <c r="S25" s="219"/>
      <c r="T25" s="219"/>
      <c r="V25" s="219"/>
      <c r="W25" s="219"/>
      <c r="X25" s="219"/>
      <c r="Y25" s="219"/>
      <c r="Z25" s="219"/>
      <c r="AA25" s="219"/>
      <c r="AB25" s="219"/>
      <c r="AC25" s="219"/>
      <c r="AD25" s="219"/>
      <c r="AF25" s="219"/>
      <c r="AG25" s="219"/>
      <c r="AH25" s="219"/>
      <c r="AI25" s="219"/>
      <c r="AJ25" s="219"/>
      <c r="AK25" s="219"/>
      <c r="AL25" s="219"/>
      <c r="AM25" s="219"/>
      <c r="AN25" s="219"/>
      <c r="AP25" s="219"/>
      <c r="AQ25" s="219"/>
      <c r="AR25" s="219"/>
      <c r="AS25" s="219"/>
      <c r="AT25" s="219"/>
      <c r="AU25" s="219"/>
      <c r="AV25" s="219"/>
      <c r="AW25" s="219"/>
      <c r="AX25" s="219"/>
    </row>
    <row r="26" spans="2:50" x14ac:dyDescent="0.3">
      <c r="B26" s="219"/>
      <c r="C26" s="219"/>
      <c r="D26" s="219"/>
      <c r="E26" s="219"/>
      <c r="F26" s="219"/>
      <c r="G26" s="219"/>
      <c r="H26" s="219"/>
      <c r="I26" s="219"/>
      <c r="J26" s="219"/>
      <c r="L26" s="219"/>
      <c r="M26" s="219"/>
      <c r="N26" s="219"/>
      <c r="O26" s="219"/>
      <c r="P26" s="219"/>
      <c r="Q26" s="219"/>
      <c r="R26" s="219"/>
      <c r="S26" s="219"/>
      <c r="T26" s="219"/>
      <c r="V26" s="219"/>
      <c r="W26" s="219"/>
      <c r="X26" s="219"/>
      <c r="Y26" s="219"/>
      <c r="Z26" s="219"/>
      <c r="AA26" s="219"/>
      <c r="AB26" s="219"/>
      <c r="AC26" s="219"/>
      <c r="AD26" s="219"/>
      <c r="AF26" s="219"/>
      <c r="AG26" s="219"/>
      <c r="AH26" s="219"/>
      <c r="AI26" s="219"/>
      <c r="AJ26" s="219"/>
      <c r="AK26" s="219"/>
      <c r="AL26" s="219"/>
      <c r="AM26" s="219"/>
      <c r="AN26" s="219"/>
      <c r="AP26" s="219"/>
      <c r="AQ26" s="219"/>
      <c r="AR26" s="219"/>
      <c r="AS26" s="219"/>
      <c r="AT26" s="219"/>
      <c r="AU26" s="219"/>
      <c r="AV26" s="219"/>
      <c r="AW26" s="219"/>
      <c r="AX26" s="219"/>
    </row>
    <row r="27" spans="2:50" x14ac:dyDescent="0.3">
      <c r="B27" s="219"/>
      <c r="C27" s="219"/>
      <c r="D27" s="219"/>
      <c r="E27" s="219"/>
      <c r="F27" s="219"/>
      <c r="G27" s="219"/>
      <c r="H27" s="219"/>
      <c r="I27" s="219"/>
      <c r="J27" s="219"/>
      <c r="L27" s="219"/>
      <c r="M27" s="219"/>
      <c r="N27" s="219"/>
      <c r="O27" s="219"/>
      <c r="P27" s="219"/>
      <c r="Q27" s="219"/>
      <c r="R27" s="219"/>
      <c r="S27" s="219"/>
      <c r="T27" s="219"/>
      <c r="V27" s="219"/>
      <c r="W27" s="219"/>
      <c r="X27" s="219"/>
      <c r="Y27" s="219"/>
      <c r="Z27" s="219"/>
      <c r="AA27" s="219"/>
      <c r="AB27" s="219"/>
      <c r="AC27" s="219"/>
      <c r="AD27" s="219"/>
      <c r="AF27" s="219"/>
      <c r="AG27" s="219"/>
      <c r="AH27" s="219"/>
      <c r="AI27" s="219"/>
      <c r="AJ27" s="219"/>
      <c r="AK27" s="219"/>
      <c r="AL27" s="219"/>
      <c r="AM27" s="219"/>
      <c r="AN27" s="219"/>
      <c r="AP27" s="219"/>
      <c r="AQ27" s="219"/>
      <c r="AR27" s="219"/>
      <c r="AS27" s="219"/>
      <c r="AT27" s="219"/>
      <c r="AU27" s="219"/>
      <c r="AV27" s="219"/>
      <c r="AW27" s="219"/>
      <c r="AX27" s="219"/>
    </row>
    <row r="28" spans="2:50" x14ac:dyDescent="0.3">
      <c r="B28" s="219"/>
      <c r="C28" s="219"/>
      <c r="D28" s="219"/>
      <c r="E28" s="219"/>
      <c r="F28" s="219"/>
      <c r="G28" s="219"/>
      <c r="H28" s="219"/>
      <c r="I28" s="219"/>
      <c r="J28" s="219"/>
      <c r="L28" s="219"/>
      <c r="M28" s="219"/>
      <c r="N28" s="219"/>
      <c r="O28" s="219"/>
      <c r="P28" s="219"/>
      <c r="Q28" s="219"/>
      <c r="R28" s="219"/>
      <c r="S28" s="219"/>
      <c r="T28" s="219"/>
      <c r="V28" s="219"/>
      <c r="W28" s="219"/>
      <c r="X28" s="219"/>
      <c r="Y28" s="219"/>
      <c r="Z28" s="219"/>
      <c r="AA28" s="219"/>
      <c r="AB28" s="219"/>
      <c r="AC28" s="219"/>
      <c r="AD28" s="219"/>
      <c r="AF28" s="219"/>
      <c r="AG28" s="219"/>
      <c r="AH28" s="219"/>
      <c r="AI28" s="219"/>
      <c r="AJ28" s="219"/>
      <c r="AK28" s="219"/>
      <c r="AL28" s="219"/>
      <c r="AM28" s="219"/>
      <c r="AN28" s="219"/>
      <c r="AP28" s="219"/>
      <c r="AQ28" s="219"/>
      <c r="AR28" s="219"/>
      <c r="AS28" s="219"/>
      <c r="AT28" s="219"/>
      <c r="AU28" s="219"/>
      <c r="AV28" s="219"/>
      <c r="AW28" s="219"/>
      <c r="AX28" s="219"/>
    </row>
    <row r="29" spans="2:50" x14ac:dyDescent="0.3">
      <c r="B29" s="219"/>
      <c r="C29" s="219"/>
      <c r="D29" s="219"/>
      <c r="E29" s="219"/>
      <c r="F29" s="219"/>
      <c r="G29" s="219"/>
      <c r="H29" s="219"/>
      <c r="I29" s="219"/>
      <c r="J29" s="219"/>
      <c r="L29" s="219"/>
      <c r="M29" s="219"/>
      <c r="N29" s="219"/>
      <c r="O29" s="219"/>
      <c r="P29" s="219"/>
      <c r="Q29" s="219"/>
      <c r="R29" s="219"/>
      <c r="S29" s="219"/>
      <c r="T29" s="219"/>
      <c r="V29" s="219"/>
      <c r="W29" s="219"/>
      <c r="X29" s="219"/>
      <c r="Y29" s="219"/>
      <c r="Z29" s="219"/>
      <c r="AA29" s="219"/>
      <c r="AB29" s="219"/>
      <c r="AC29" s="219"/>
      <c r="AD29" s="219"/>
      <c r="AF29" s="219"/>
      <c r="AG29" s="219"/>
      <c r="AH29" s="219"/>
      <c r="AI29" s="219"/>
      <c r="AJ29" s="219"/>
      <c r="AK29" s="219"/>
      <c r="AL29" s="219"/>
      <c r="AM29" s="219"/>
      <c r="AN29" s="219"/>
      <c r="AP29" s="219"/>
      <c r="AQ29" s="219"/>
      <c r="AR29" s="219"/>
      <c r="AS29" s="219"/>
      <c r="AT29" s="219"/>
      <c r="AU29" s="219"/>
      <c r="AV29" s="219"/>
      <c r="AW29" s="219"/>
      <c r="AX29" s="219"/>
    </row>
    <row r="30" spans="2:50" x14ac:dyDescent="0.3">
      <c r="B30" s="219"/>
      <c r="C30" s="219"/>
      <c r="D30" s="219"/>
      <c r="E30" s="219"/>
      <c r="F30" s="219"/>
      <c r="G30" s="219"/>
      <c r="H30" s="219"/>
      <c r="I30" s="219"/>
      <c r="J30" s="219"/>
      <c r="L30" s="219"/>
      <c r="M30" s="219"/>
      <c r="N30" s="219"/>
      <c r="O30" s="219"/>
      <c r="P30" s="219"/>
      <c r="Q30" s="219"/>
      <c r="R30" s="219"/>
      <c r="S30" s="219"/>
      <c r="T30" s="219"/>
      <c r="V30" s="219"/>
      <c r="W30" s="219"/>
      <c r="X30" s="219"/>
      <c r="Y30" s="219"/>
      <c r="Z30" s="219"/>
      <c r="AA30" s="219"/>
      <c r="AB30" s="219"/>
      <c r="AC30" s="219"/>
      <c r="AD30" s="219"/>
      <c r="AF30" s="219"/>
      <c r="AG30" s="219"/>
      <c r="AH30" s="219"/>
      <c r="AI30" s="219"/>
      <c r="AJ30" s="219"/>
      <c r="AK30" s="219"/>
      <c r="AL30" s="219"/>
      <c r="AM30" s="219"/>
      <c r="AN30" s="219"/>
      <c r="AP30" s="219"/>
      <c r="AQ30" s="219"/>
      <c r="AR30" s="219"/>
      <c r="AS30" s="219"/>
      <c r="AT30" s="219"/>
      <c r="AU30" s="219"/>
      <c r="AV30" s="219"/>
      <c r="AW30" s="219"/>
      <c r="AX30" s="219"/>
    </row>
    <row r="31" spans="2:50" x14ac:dyDescent="0.3">
      <c r="B31" s="219"/>
      <c r="C31" s="219"/>
      <c r="D31" s="219"/>
      <c r="E31" s="219"/>
      <c r="F31" s="219"/>
      <c r="G31" s="219"/>
      <c r="H31" s="219"/>
      <c r="I31" s="219"/>
      <c r="J31" s="219"/>
      <c r="L31" s="219"/>
      <c r="M31" s="219"/>
      <c r="N31" s="219"/>
      <c r="O31" s="219"/>
      <c r="P31" s="219"/>
      <c r="Q31" s="219"/>
      <c r="R31" s="219"/>
      <c r="S31" s="219"/>
      <c r="T31" s="219"/>
      <c r="V31" s="219"/>
      <c r="W31" s="219"/>
      <c r="X31" s="219"/>
      <c r="Y31" s="219"/>
      <c r="Z31" s="219"/>
      <c r="AA31" s="219"/>
      <c r="AB31" s="219"/>
      <c r="AC31" s="219"/>
      <c r="AD31" s="219"/>
      <c r="AF31" s="219"/>
      <c r="AG31" s="219"/>
      <c r="AH31" s="219"/>
      <c r="AI31" s="219"/>
      <c r="AJ31" s="219"/>
      <c r="AK31" s="219"/>
      <c r="AL31" s="219"/>
      <c r="AM31" s="219"/>
      <c r="AN31" s="219"/>
      <c r="AP31" s="219"/>
      <c r="AQ31" s="219"/>
      <c r="AR31" s="219"/>
      <c r="AS31" s="219"/>
      <c r="AT31" s="219"/>
      <c r="AU31" s="219"/>
      <c r="AV31" s="219"/>
      <c r="AW31" s="219"/>
      <c r="AX31" s="219"/>
    </row>
    <row r="32" spans="2:50" x14ac:dyDescent="0.3">
      <c r="B32" s="220" t="s">
        <v>466</v>
      </c>
      <c r="C32" s="220"/>
      <c r="D32" s="220"/>
      <c r="E32" s="220"/>
      <c r="F32" s="220"/>
      <c r="G32" s="220"/>
      <c r="H32" s="220"/>
      <c r="I32" s="220"/>
      <c r="J32" s="220"/>
      <c r="L32" s="43"/>
      <c r="M32" s="43"/>
      <c r="N32" s="43"/>
      <c r="O32" s="43"/>
      <c r="P32" s="43"/>
      <c r="Q32" s="43"/>
      <c r="R32" s="43"/>
      <c r="S32" s="43"/>
      <c r="T32" s="43"/>
      <c r="V32" s="220"/>
      <c r="W32" s="220"/>
      <c r="X32" s="220"/>
      <c r="Y32" s="220"/>
      <c r="Z32" s="220"/>
      <c r="AA32" s="220"/>
      <c r="AB32" s="220"/>
      <c r="AC32" s="220"/>
      <c r="AD32" s="220"/>
      <c r="AF32" s="43"/>
      <c r="AG32" s="43"/>
      <c r="AH32" s="43"/>
      <c r="AI32" s="43"/>
      <c r="AJ32" s="43"/>
      <c r="AK32" s="43"/>
      <c r="AL32" s="43"/>
      <c r="AM32" s="43"/>
      <c r="AN32" s="43"/>
    </row>
    <row r="33" spans="2:40" x14ac:dyDescent="0.3">
      <c r="B33" s="220"/>
      <c r="C33" s="220"/>
      <c r="D33" s="220"/>
      <c r="E33" s="220"/>
      <c r="F33" s="220"/>
      <c r="G33" s="220"/>
      <c r="H33" s="220"/>
      <c r="I33" s="220"/>
      <c r="J33" s="220"/>
      <c r="L33" s="43"/>
      <c r="M33" s="43"/>
      <c r="N33" s="43"/>
      <c r="O33" s="43"/>
      <c r="P33" s="43"/>
      <c r="Q33" s="43"/>
      <c r="R33" s="43"/>
      <c r="S33" s="43"/>
      <c r="T33" s="43"/>
      <c r="V33" s="220"/>
      <c r="W33" s="220"/>
      <c r="X33" s="220"/>
      <c r="Y33" s="220"/>
      <c r="Z33" s="220"/>
      <c r="AA33" s="220"/>
      <c r="AB33" s="220"/>
      <c r="AC33" s="220"/>
      <c r="AD33" s="220"/>
      <c r="AF33" s="43"/>
      <c r="AG33" s="43"/>
      <c r="AH33" s="43"/>
      <c r="AI33" s="43"/>
      <c r="AJ33" s="43"/>
      <c r="AK33" s="43"/>
      <c r="AL33" s="43"/>
      <c r="AM33" s="43"/>
      <c r="AN33" s="43"/>
    </row>
    <row r="34" spans="2:40" x14ac:dyDescent="0.3">
      <c r="B34" s="220"/>
      <c r="C34" s="220"/>
      <c r="D34" s="220"/>
      <c r="E34" s="220"/>
      <c r="F34" s="220"/>
      <c r="G34" s="220"/>
      <c r="H34" s="220"/>
      <c r="I34" s="220"/>
      <c r="J34" s="220"/>
      <c r="L34" s="43"/>
      <c r="M34" s="43"/>
      <c r="N34" s="43"/>
      <c r="O34" s="43"/>
      <c r="P34" s="43"/>
      <c r="Q34" s="43"/>
      <c r="R34" s="43"/>
      <c r="S34" s="43"/>
      <c r="T34" s="43"/>
      <c r="V34" s="220"/>
      <c r="W34" s="220"/>
      <c r="X34" s="220"/>
      <c r="Y34" s="220"/>
      <c r="Z34" s="220"/>
      <c r="AA34" s="220"/>
      <c r="AB34" s="220"/>
      <c r="AC34" s="220"/>
      <c r="AD34" s="220"/>
      <c r="AF34" s="43"/>
      <c r="AG34" s="43"/>
      <c r="AH34" s="43"/>
      <c r="AI34" s="43"/>
      <c r="AJ34" s="43"/>
      <c r="AK34" s="43"/>
      <c r="AL34" s="43"/>
      <c r="AM34" s="43"/>
      <c r="AN34" s="43"/>
    </row>
    <row r="35" spans="2:40" x14ac:dyDescent="0.3">
      <c r="B35" s="220"/>
      <c r="C35" s="220"/>
      <c r="D35" s="220"/>
      <c r="E35" s="220"/>
      <c r="F35" s="220"/>
      <c r="G35" s="220"/>
      <c r="H35" s="220"/>
      <c r="I35" s="220"/>
      <c r="J35" s="220"/>
      <c r="L35" s="43"/>
      <c r="M35" s="43"/>
      <c r="N35" s="43"/>
      <c r="O35" s="43"/>
      <c r="P35" s="43"/>
      <c r="Q35" s="43"/>
      <c r="R35" s="43"/>
      <c r="S35" s="43"/>
      <c r="T35" s="43"/>
      <c r="V35" s="220"/>
      <c r="W35" s="220"/>
      <c r="X35" s="220"/>
      <c r="Y35" s="220"/>
      <c r="Z35" s="220"/>
      <c r="AA35" s="220"/>
      <c r="AB35" s="220"/>
      <c r="AC35" s="220"/>
      <c r="AD35" s="220"/>
      <c r="AF35" s="43"/>
      <c r="AG35" s="43"/>
      <c r="AH35" s="43"/>
      <c r="AI35" s="43"/>
      <c r="AJ35" s="43"/>
      <c r="AK35" s="43"/>
      <c r="AL35" s="43"/>
      <c r="AM35" s="43"/>
      <c r="AN35" s="43"/>
    </row>
    <row r="36" spans="2:40" x14ac:dyDescent="0.3">
      <c r="B36" s="220"/>
      <c r="C36" s="220"/>
      <c r="D36" s="220"/>
      <c r="E36" s="220"/>
      <c r="F36" s="220"/>
      <c r="G36" s="220"/>
      <c r="H36" s="220"/>
      <c r="I36" s="220"/>
      <c r="J36" s="220"/>
      <c r="L36" s="43"/>
      <c r="M36" s="43"/>
      <c r="N36" s="43"/>
      <c r="O36" s="43"/>
      <c r="P36" s="43"/>
      <c r="Q36" s="43"/>
      <c r="R36" s="43"/>
      <c r="S36" s="43"/>
      <c r="T36" s="43"/>
      <c r="V36" s="220"/>
      <c r="W36" s="220"/>
      <c r="X36" s="220"/>
      <c r="Y36" s="220"/>
      <c r="Z36" s="220"/>
      <c r="AA36" s="220"/>
      <c r="AB36" s="220"/>
      <c r="AC36" s="220"/>
      <c r="AD36" s="220"/>
      <c r="AF36" s="43"/>
      <c r="AG36" s="43"/>
      <c r="AH36" s="43"/>
      <c r="AI36" s="43"/>
      <c r="AJ36" s="43"/>
      <c r="AK36" s="43"/>
      <c r="AL36" s="43"/>
      <c r="AM36" s="43"/>
      <c r="AN36" s="43"/>
    </row>
    <row r="37" spans="2:40" x14ac:dyDescent="0.3">
      <c r="B37" s="220"/>
      <c r="C37" s="220"/>
      <c r="D37" s="220"/>
      <c r="E37" s="220"/>
      <c r="F37" s="220"/>
      <c r="G37" s="220"/>
      <c r="H37" s="220"/>
      <c r="I37" s="220"/>
      <c r="J37" s="220"/>
      <c r="L37" s="43"/>
      <c r="M37" s="43"/>
      <c r="N37" s="43"/>
      <c r="O37" s="43"/>
      <c r="P37" s="43"/>
      <c r="Q37" s="43"/>
      <c r="R37" s="43"/>
      <c r="S37" s="43"/>
      <c r="T37" s="43"/>
      <c r="V37" s="220"/>
      <c r="W37" s="220"/>
      <c r="X37" s="220"/>
      <c r="Y37" s="220"/>
      <c r="Z37" s="220"/>
      <c r="AA37" s="220"/>
      <c r="AB37" s="220"/>
      <c r="AC37" s="220"/>
      <c r="AD37" s="220"/>
      <c r="AF37" s="43"/>
      <c r="AG37" s="43"/>
      <c r="AH37" s="43"/>
      <c r="AI37" s="43"/>
      <c r="AJ37" s="43"/>
      <c r="AK37" s="43"/>
      <c r="AL37" s="43"/>
      <c r="AM37" s="43"/>
      <c r="AN37" s="43"/>
    </row>
    <row r="38" spans="2:40" x14ac:dyDescent="0.3">
      <c r="B38" s="220"/>
      <c r="C38" s="220"/>
      <c r="D38" s="220"/>
      <c r="E38" s="220"/>
      <c r="F38" s="220"/>
      <c r="G38" s="220"/>
      <c r="H38" s="220"/>
      <c r="I38" s="220"/>
      <c r="J38" s="220"/>
      <c r="L38" s="43"/>
      <c r="M38" s="43"/>
      <c r="N38" s="43"/>
      <c r="O38" s="43"/>
      <c r="P38" s="43"/>
      <c r="Q38" s="43"/>
      <c r="R38" s="43"/>
      <c r="S38" s="43"/>
      <c r="T38" s="43"/>
      <c r="V38" s="220"/>
      <c r="W38" s="220"/>
      <c r="X38" s="220"/>
      <c r="Y38" s="220"/>
      <c r="Z38" s="220"/>
      <c r="AA38" s="220"/>
      <c r="AB38" s="220"/>
      <c r="AC38" s="220"/>
      <c r="AD38" s="220"/>
      <c r="AF38" s="43"/>
      <c r="AG38" s="43"/>
      <c r="AH38" s="43"/>
      <c r="AI38" s="43"/>
      <c r="AJ38" s="43"/>
      <c r="AK38" s="43"/>
      <c r="AL38" s="43"/>
      <c r="AM38" s="43"/>
      <c r="AN38" s="43"/>
    </row>
    <row r="39" spans="2:40" x14ac:dyDescent="0.3">
      <c r="B39" s="220"/>
      <c r="C39" s="220"/>
      <c r="D39" s="220"/>
      <c r="E39" s="220"/>
      <c r="F39" s="220"/>
      <c r="G39" s="220"/>
      <c r="H39" s="220"/>
      <c r="I39" s="220"/>
      <c r="J39" s="220"/>
      <c r="L39" s="43"/>
      <c r="M39" s="43"/>
      <c r="N39" s="43"/>
      <c r="O39" s="43"/>
      <c r="P39" s="43"/>
      <c r="Q39" s="43"/>
      <c r="R39" s="43"/>
      <c r="S39" s="43"/>
      <c r="T39" s="43"/>
      <c r="V39" s="220"/>
      <c r="W39" s="220"/>
      <c r="X39" s="220"/>
      <c r="Y39" s="220"/>
      <c r="Z39" s="220"/>
      <c r="AA39" s="220"/>
      <c r="AB39" s="220"/>
      <c r="AC39" s="220"/>
      <c r="AD39" s="220"/>
      <c r="AF39" s="43"/>
      <c r="AG39" s="43"/>
      <c r="AH39" s="43"/>
      <c r="AI39" s="43"/>
      <c r="AJ39" s="43"/>
      <c r="AK39" s="43"/>
      <c r="AL39" s="43"/>
      <c r="AM39" s="43"/>
      <c r="AN39" s="43"/>
    </row>
    <row r="40" spans="2:40" x14ac:dyDescent="0.3">
      <c r="B40" s="220" t="s">
        <v>464</v>
      </c>
      <c r="C40" s="220"/>
      <c r="D40" s="220"/>
      <c r="E40" s="220"/>
      <c r="F40" s="220"/>
      <c r="G40" s="220"/>
      <c r="H40" s="220"/>
      <c r="I40" s="220"/>
      <c r="J40" s="220"/>
      <c r="L40" s="43"/>
      <c r="M40" s="43"/>
      <c r="N40" s="43"/>
      <c r="O40" s="43"/>
      <c r="P40" s="43"/>
      <c r="Q40" s="43"/>
      <c r="R40" s="43"/>
      <c r="S40" s="43"/>
      <c r="T40" s="43"/>
      <c r="V40" s="220"/>
      <c r="W40" s="220"/>
      <c r="X40" s="220"/>
      <c r="Y40" s="220"/>
      <c r="Z40" s="220"/>
      <c r="AA40" s="220"/>
      <c r="AB40" s="220"/>
      <c r="AC40" s="220"/>
      <c r="AD40" s="220"/>
      <c r="AF40" s="43"/>
      <c r="AG40" s="43"/>
      <c r="AH40" s="43"/>
      <c r="AI40" s="43"/>
      <c r="AJ40" s="43"/>
      <c r="AK40" s="43"/>
      <c r="AL40" s="43"/>
      <c r="AM40" s="43"/>
      <c r="AN40" s="43"/>
    </row>
    <row r="41" spans="2:40" x14ac:dyDescent="0.3">
      <c r="B41" s="220"/>
      <c r="C41" s="220"/>
      <c r="D41" s="220"/>
      <c r="E41" s="220"/>
      <c r="F41" s="220"/>
      <c r="G41" s="220"/>
      <c r="H41" s="220"/>
      <c r="I41" s="220"/>
      <c r="J41" s="220"/>
      <c r="L41" s="43"/>
      <c r="M41" s="43"/>
      <c r="N41" s="43"/>
      <c r="O41" s="43"/>
      <c r="P41" s="43"/>
      <c r="Q41" s="43"/>
      <c r="R41" s="43"/>
      <c r="S41" s="43"/>
      <c r="T41" s="43"/>
      <c r="V41" s="220"/>
      <c r="W41" s="220"/>
      <c r="X41" s="220"/>
      <c r="Y41" s="220"/>
      <c r="Z41" s="220"/>
      <c r="AA41" s="220"/>
      <c r="AB41" s="220"/>
      <c r="AC41" s="220"/>
      <c r="AD41" s="220"/>
      <c r="AF41" s="43"/>
      <c r="AG41" s="43"/>
      <c r="AH41" s="43"/>
      <c r="AI41" s="43"/>
      <c r="AJ41" s="43"/>
      <c r="AK41" s="43"/>
      <c r="AL41" s="43"/>
      <c r="AM41" s="43"/>
      <c r="AN41" s="43"/>
    </row>
    <row r="42" spans="2:40" x14ac:dyDescent="0.3">
      <c r="B42" s="220"/>
      <c r="C42" s="220"/>
      <c r="D42" s="220"/>
      <c r="E42" s="220"/>
      <c r="F42" s="220"/>
      <c r="G42" s="220"/>
      <c r="H42" s="220"/>
      <c r="I42" s="220"/>
      <c r="J42" s="220"/>
      <c r="L42" s="43"/>
      <c r="M42" s="43"/>
      <c r="N42" s="43"/>
      <c r="O42" s="43"/>
      <c r="P42" s="43"/>
      <c r="Q42" s="43"/>
      <c r="R42" s="43"/>
      <c r="S42" s="43"/>
      <c r="T42" s="43"/>
      <c r="V42" s="220"/>
      <c r="W42" s="220"/>
      <c r="X42" s="220"/>
      <c r="Y42" s="220"/>
      <c r="Z42" s="220"/>
      <c r="AA42" s="220"/>
      <c r="AB42" s="220"/>
      <c r="AC42" s="220"/>
      <c r="AD42" s="220"/>
      <c r="AF42" s="43"/>
      <c r="AG42" s="43"/>
      <c r="AH42" s="43"/>
      <c r="AI42" s="43"/>
      <c r="AJ42" s="43"/>
      <c r="AK42" s="43"/>
      <c r="AL42" s="43"/>
      <c r="AM42" s="43"/>
      <c r="AN42" s="43"/>
    </row>
    <row r="43" spans="2:40" x14ac:dyDescent="0.3">
      <c r="B43" s="220"/>
      <c r="C43" s="220"/>
      <c r="D43" s="220"/>
      <c r="E43" s="220"/>
      <c r="F43" s="220"/>
      <c r="G43" s="220"/>
      <c r="H43" s="220"/>
      <c r="I43" s="220"/>
      <c r="J43" s="220"/>
      <c r="L43" s="43"/>
      <c r="M43" s="43"/>
      <c r="N43" s="43"/>
      <c r="O43" s="43"/>
      <c r="P43" s="43"/>
      <c r="Q43" s="43"/>
      <c r="R43" s="43"/>
      <c r="S43" s="43"/>
      <c r="T43" s="43"/>
      <c r="V43" s="220"/>
      <c r="W43" s="220"/>
      <c r="X43" s="220"/>
      <c r="Y43" s="220"/>
      <c r="Z43" s="220"/>
      <c r="AA43" s="220"/>
      <c r="AB43" s="220"/>
      <c r="AC43" s="220"/>
      <c r="AD43" s="220"/>
      <c r="AF43" s="43"/>
      <c r="AG43" s="43"/>
      <c r="AH43" s="43"/>
      <c r="AI43" s="43"/>
      <c r="AJ43" s="43"/>
      <c r="AK43" s="43"/>
      <c r="AL43" s="43"/>
      <c r="AM43" s="43"/>
      <c r="AN43" s="43"/>
    </row>
    <row r="44" spans="2:40" x14ac:dyDescent="0.3">
      <c r="B44" s="220"/>
      <c r="C44" s="220"/>
      <c r="D44" s="220"/>
      <c r="E44" s="220"/>
      <c r="F44" s="220"/>
      <c r="G44" s="220"/>
      <c r="H44" s="220"/>
      <c r="I44" s="220"/>
      <c r="J44" s="220"/>
      <c r="L44" s="43"/>
      <c r="M44" s="43"/>
      <c r="N44" s="43"/>
      <c r="O44" s="43"/>
      <c r="P44" s="43"/>
      <c r="Q44" s="43"/>
      <c r="R44" s="43"/>
      <c r="S44" s="43"/>
      <c r="T44" s="43"/>
      <c r="V44" s="220"/>
      <c r="W44" s="220"/>
      <c r="X44" s="220"/>
      <c r="Y44" s="220"/>
      <c r="Z44" s="220"/>
      <c r="AA44" s="220"/>
      <c r="AB44" s="220"/>
      <c r="AC44" s="220"/>
      <c r="AD44" s="220"/>
      <c r="AF44" s="43"/>
      <c r="AG44" s="43"/>
      <c r="AH44" s="43"/>
      <c r="AI44" s="43"/>
      <c r="AJ44" s="43"/>
      <c r="AK44" s="43"/>
      <c r="AL44" s="43"/>
      <c r="AM44" s="43"/>
      <c r="AN44" s="43"/>
    </row>
    <row r="45" spans="2:40" x14ac:dyDescent="0.3">
      <c r="B45" s="220"/>
      <c r="C45" s="220"/>
      <c r="D45" s="220"/>
      <c r="E45" s="220"/>
      <c r="F45" s="220"/>
      <c r="G45" s="220"/>
      <c r="H45" s="220"/>
      <c r="I45" s="220"/>
      <c r="J45" s="220"/>
      <c r="L45" s="43"/>
      <c r="M45" s="43"/>
      <c r="N45" s="43"/>
      <c r="O45" s="43"/>
      <c r="P45" s="43"/>
      <c r="Q45" s="43"/>
      <c r="R45" s="43"/>
      <c r="S45" s="43"/>
      <c r="T45" s="43"/>
      <c r="V45" s="220"/>
      <c r="W45" s="220"/>
      <c r="X45" s="220"/>
      <c r="Y45" s="220"/>
      <c r="Z45" s="220"/>
      <c r="AA45" s="220"/>
      <c r="AB45" s="220"/>
      <c r="AC45" s="220"/>
      <c r="AD45" s="220"/>
      <c r="AF45" s="43"/>
      <c r="AG45" s="43"/>
      <c r="AH45" s="43"/>
      <c r="AI45" s="43"/>
      <c r="AJ45" s="43"/>
      <c r="AK45" s="43"/>
      <c r="AL45" s="43"/>
      <c r="AM45" s="43"/>
      <c r="AN45" s="43"/>
    </row>
    <row r="46" spans="2:40" x14ac:dyDescent="0.3">
      <c r="B46" s="220"/>
      <c r="C46" s="220"/>
      <c r="D46" s="220"/>
      <c r="E46" s="220"/>
      <c r="F46" s="220"/>
      <c r="G46" s="220"/>
      <c r="H46" s="220"/>
      <c r="I46" s="220"/>
      <c r="J46" s="220"/>
      <c r="L46" s="43"/>
      <c r="M46" s="43"/>
      <c r="N46" s="43"/>
      <c r="O46" s="43"/>
      <c r="P46" s="43"/>
      <c r="Q46" s="43"/>
      <c r="R46" s="43"/>
      <c r="S46" s="43"/>
      <c r="T46" s="43"/>
      <c r="V46" s="220"/>
      <c r="W46" s="220"/>
      <c r="X46" s="220"/>
      <c r="Y46" s="220"/>
      <c r="Z46" s="220"/>
      <c r="AA46" s="220"/>
      <c r="AB46" s="220"/>
      <c r="AC46" s="220"/>
      <c r="AD46" s="220"/>
      <c r="AF46" s="43"/>
      <c r="AG46" s="43"/>
      <c r="AH46" s="43"/>
      <c r="AI46" s="43"/>
      <c r="AJ46" s="43"/>
      <c r="AK46" s="43"/>
      <c r="AL46" s="43"/>
      <c r="AM46" s="43"/>
      <c r="AN46" s="43"/>
    </row>
    <row r="47" spans="2:40" x14ac:dyDescent="0.3">
      <c r="B47" s="220"/>
      <c r="C47" s="220"/>
      <c r="D47" s="220"/>
      <c r="E47" s="220"/>
      <c r="F47" s="220"/>
      <c r="G47" s="220"/>
      <c r="H47" s="220"/>
      <c r="I47" s="220"/>
      <c r="J47" s="220"/>
      <c r="L47" s="43"/>
      <c r="M47" s="43"/>
      <c r="N47" s="43"/>
      <c r="O47" s="43"/>
      <c r="P47" s="43"/>
      <c r="Q47" s="43"/>
      <c r="R47" s="43"/>
      <c r="S47" s="43"/>
      <c r="T47" s="43"/>
      <c r="V47" s="220"/>
      <c r="W47" s="220"/>
      <c r="X47" s="220"/>
      <c r="Y47" s="220"/>
      <c r="Z47" s="220"/>
      <c r="AA47" s="220"/>
      <c r="AB47" s="220"/>
      <c r="AC47" s="220"/>
      <c r="AD47" s="220"/>
      <c r="AF47" s="43"/>
      <c r="AG47" s="43"/>
      <c r="AH47" s="43"/>
      <c r="AI47" s="43"/>
      <c r="AJ47" s="43"/>
      <c r="AK47" s="43"/>
      <c r="AL47" s="43"/>
      <c r="AM47" s="43"/>
      <c r="AN47" s="43"/>
    </row>
    <row r="48" spans="2:40" x14ac:dyDescent="0.3">
      <c r="B48" s="220" t="s">
        <v>465</v>
      </c>
      <c r="C48" s="220"/>
      <c r="D48" s="220"/>
      <c r="E48" s="220"/>
      <c r="F48" s="220"/>
      <c r="G48" s="220"/>
      <c r="H48" s="220"/>
      <c r="I48" s="220"/>
      <c r="J48" s="220"/>
      <c r="L48" s="43"/>
      <c r="M48" s="43"/>
      <c r="N48" s="43"/>
      <c r="O48" s="43"/>
      <c r="P48" s="43"/>
      <c r="Q48" s="43"/>
      <c r="R48" s="43"/>
      <c r="S48" s="43"/>
      <c r="T48" s="43"/>
      <c r="V48" s="43"/>
      <c r="W48" s="43"/>
      <c r="X48" s="43"/>
      <c r="Y48" s="43"/>
      <c r="Z48" s="43"/>
      <c r="AA48" s="43"/>
      <c r="AB48" s="43"/>
      <c r="AC48" s="43"/>
      <c r="AD48" s="43"/>
      <c r="AF48" s="43"/>
      <c r="AG48" s="43"/>
      <c r="AH48" s="43"/>
      <c r="AI48" s="43"/>
      <c r="AJ48" s="43"/>
      <c r="AK48" s="43"/>
      <c r="AL48" s="43"/>
      <c r="AM48" s="43"/>
      <c r="AN48" s="43"/>
    </row>
    <row r="49" spans="2:40" x14ac:dyDescent="0.3">
      <c r="B49" s="220"/>
      <c r="C49" s="220"/>
      <c r="D49" s="220"/>
      <c r="E49" s="220"/>
      <c r="F49" s="220"/>
      <c r="G49" s="220"/>
      <c r="H49" s="220"/>
      <c r="I49" s="220"/>
      <c r="J49" s="220"/>
      <c r="L49" s="43"/>
      <c r="M49" s="43"/>
      <c r="N49" s="43"/>
      <c r="O49" s="43"/>
      <c r="P49" s="43"/>
      <c r="Q49" s="43"/>
      <c r="R49" s="43"/>
      <c r="S49" s="43"/>
      <c r="T49" s="43"/>
      <c r="V49" s="43"/>
      <c r="W49" s="43"/>
      <c r="X49" s="43"/>
      <c r="Y49" s="43"/>
      <c r="Z49" s="43"/>
      <c r="AA49" s="43"/>
      <c r="AB49" s="43"/>
      <c r="AC49" s="43"/>
      <c r="AD49" s="43"/>
      <c r="AF49" s="43"/>
      <c r="AG49" s="43"/>
      <c r="AH49" s="43"/>
      <c r="AI49" s="43"/>
      <c r="AJ49" s="43"/>
      <c r="AK49" s="43"/>
      <c r="AL49" s="43"/>
      <c r="AM49" s="43"/>
      <c r="AN49" s="43"/>
    </row>
    <row r="50" spans="2:40" x14ac:dyDescent="0.3">
      <c r="B50" s="220"/>
      <c r="C50" s="220"/>
      <c r="D50" s="220"/>
      <c r="E50" s="220"/>
      <c r="F50" s="220"/>
      <c r="G50" s="220"/>
      <c r="H50" s="220"/>
      <c r="I50" s="220"/>
      <c r="J50" s="220"/>
      <c r="L50" s="43"/>
      <c r="M50" s="43"/>
      <c r="N50" s="43"/>
      <c r="O50" s="43"/>
      <c r="P50" s="43"/>
      <c r="Q50" s="43"/>
      <c r="R50" s="43"/>
      <c r="S50" s="43"/>
      <c r="T50" s="43"/>
      <c r="V50" s="43"/>
      <c r="W50" s="43"/>
      <c r="X50" s="43"/>
      <c r="Y50" s="43"/>
      <c r="Z50" s="43"/>
      <c r="AA50" s="43"/>
      <c r="AB50" s="43"/>
      <c r="AC50" s="43"/>
      <c r="AD50" s="43"/>
      <c r="AF50" s="43"/>
      <c r="AG50" s="43"/>
      <c r="AH50" s="43"/>
      <c r="AI50" s="43"/>
      <c r="AJ50" s="43"/>
      <c r="AK50" s="43"/>
      <c r="AL50" s="43"/>
      <c r="AM50" s="43"/>
      <c r="AN50" s="43"/>
    </row>
    <row r="51" spans="2:40" x14ac:dyDescent="0.3">
      <c r="B51" s="220"/>
      <c r="C51" s="220"/>
      <c r="D51" s="220"/>
      <c r="E51" s="220"/>
      <c r="F51" s="220"/>
      <c r="G51" s="220"/>
      <c r="H51" s="220"/>
      <c r="I51" s="220"/>
      <c r="J51" s="220"/>
      <c r="L51" s="43"/>
      <c r="M51" s="43"/>
      <c r="N51" s="43"/>
      <c r="O51" s="43"/>
      <c r="P51" s="43"/>
      <c r="Q51" s="43"/>
      <c r="R51" s="43"/>
      <c r="S51" s="43"/>
      <c r="T51" s="43"/>
      <c r="V51" s="43"/>
      <c r="W51" s="43"/>
      <c r="X51" s="43"/>
      <c r="Y51" s="43"/>
      <c r="Z51" s="43"/>
      <c r="AA51" s="43"/>
      <c r="AB51" s="43"/>
      <c r="AC51" s="43"/>
      <c r="AD51" s="43"/>
      <c r="AF51" s="43"/>
      <c r="AG51" s="43"/>
      <c r="AH51" s="43"/>
      <c r="AI51" s="43"/>
      <c r="AJ51" s="43"/>
      <c r="AK51" s="43"/>
      <c r="AL51" s="43"/>
      <c r="AM51" s="43"/>
      <c r="AN51" s="43"/>
    </row>
    <row r="52" spans="2:40" x14ac:dyDescent="0.3">
      <c r="B52" s="220"/>
      <c r="C52" s="220"/>
      <c r="D52" s="220"/>
      <c r="E52" s="220"/>
      <c r="F52" s="220"/>
      <c r="G52" s="220"/>
      <c r="H52" s="220"/>
      <c r="I52" s="220"/>
      <c r="J52" s="220"/>
      <c r="L52" s="43"/>
      <c r="M52" s="43"/>
      <c r="N52" s="43"/>
      <c r="O52" s="43"/>
      <c r="P52" s="43"/>
      <c r="Q52" s="43"/>
      <c r="R52" s="43"/>
      <c r="S52" s="43"/>
      <c r="T52" s="43"/>
      <c r="V52" s="43"/>
      <c r="W52" s="43"/>
      <c r="X52" s="43"/>
      <c r="Y52" s="43"/>
      <c r="Z52" s="43"/>
      <c r="AA52" s="43"/>
      <c r="AB52" s="43"/>
      <c r="AC52" s="43"/>
      <c r="AD52" s="43"/>
      <c r="AF52" s="43"/>
      <c r="AG52" s="43"/>
      <c r="AH52" s="43"/>
      <c r="AI52" s="43"/>
      <c r="AJ52" s="43"/>
      <c r="AK52" s="43"/>
      <c r="AL52" s="43"/>
      <c r="AM52" s="43"/>
      <c r="AN52" s="43"/>
    </row>
    <row r="53" spans="2:40" x14ac:dyDescent="0.3">
      <c r="B53" s="220"/>
      <c r="C53" s="220"/>
      <c r="D53" s="220"/>
      <c r="E53" s="220"/>
      <c r="F53" s="220"/>
      <c r="G53" s="220"/>
      <c r="H53" s="220"/>
      <c r="I53" s="220"/>
      <c r="J53" s="220"/>
      <c r="L53" s="43"/>
      <c r="M53" s="43"/>
      <c r="N53" s="43"/>
      <c r="O53" s="43"/>
      <c r="P53" s="43"/>
      <c r="Q53" s="43"/>
      <c r="R53" s="43"/>
      <c r="S53" s="43"/>
      <c r="T53" s="43"/>
      <c r="V53" s="43"/>
      <c r="W53" s="43"/>
      <c r="X53" s="43"/>
      <c r="Y53" s="43"/>
      <c r="Z53" s="43"/>
      <c r="AA53" s="43"/>
      <c r="AB53" s="43"/>
      <c r="AC53" s="43"/>
      <c r="AD53" s="43"/>
      <c r="AF53" s="43"/>
      <c r="AG53" s="43"/>
      <c r="AH53" s="43"/>
      <c r="AI53" s="43"/>
      <c r="AJ53" s="43"/>
      <c r="AK53" s="43"/>
      <c r="AL53" s="43"/>
      <c r="AM53" s="43"/>
      <c r="AN53" s="43"/>
    </row>
    <row r="54" spans="2:40" x14ac:dyDescent="0.3">
      <c r="B54" s="220"/>
      <c r="C54" s="220"/>
      <c r="D54" s="220"/>
      <c r="E54" s="220"/>
      <c r="F54" s="220"/>
      <c r="G54" s="220"/>
      <c r="H54" s="220"/>
      <c r="I54" s="220"/>
      <c r="J54" s="220"/>
      <c r="L54" s="43"/>
      <c r="M54" s="43"/>
      <c r="N54" s="43"/>
      <c r="O54" s="43"/>
      <c r="P54" s="43"/>
      <c r="Q54" s="43"/>
      <c r="R54" s="43"/>
      <c r="S54" s="43"/>
      <c r="T54" s="43"/>
      <c r="V54" s="43"/>
      <c r="W54" s="43"/>
      <c r="X54" s="43"/>
      <c r="Y54" s="43"/>
      <c r="Z54" s="43"/>
      <c r="AA54" s="43"/>
      <c r="AB54" s="43"/>
      <c r="AC54" s="43"/>
      <c r="AD54" s="43"/>
      <c r="AF54" s="43"/>
      <c r="AG54" s="43"/>
      <c r="AH54" s="43"/>
      <c r="AI54" s="43"/>
      <c r="AJ54" s="43"/>
      <c r="AK54" s="43"/>
      <c r="AL54" s="43"/>
      <c r="AM54" s="43"/>
      <c r="AN54" s="43"/>
    </row>
    <row r="55" spans="2:40" x14ac:dyDescent="0.3">
      <c r="B55" s="220"/>
      <c r="C55" s="220"/>
      <c r="D55" s="220"/>
      <c r="E55" s="220"/>
      <c r="F55" s="220"/>
      <c r="G55" s="220"/>
      <c r="H55" s="220"/>
      <c r="I55" s="220"/>
      <c r="J55" s="220"/>
      <c r="L55" s="43"/>
      <c r="M55" s="43"/>
      <c r="N55" s="43"/>
      <c r="O55" s="43"/>
      <c r="P55" s="43"/>
      <c r="Q55" s="43"/>
      <c r="R55" s="43"/>
      <c r="S55" s="43"/>
      <c r="T55" s="43"/>
      <c r="V55" s="43"/>
      <c r="W55" s="43"/>
      <c r="X55" s="43"/>
      <c r="Y55" s="43"/>
      <c r="Z55" s="43"/>
      <c r="AA55" s="43"/>
      <c r="AB55" s="43"/>
      <c r="AC55" s="43"/>
      <c r="AD55" s="43"/>
      <c r="AF55" s="43"/>
      <c r="AG55" s="43"/>
      <c r="AH55" s="43"/>
      <c r="AI55" s="43"/>
      <c r="AJ55" s="43"/>
      <c r="AK55" s="43"/>
      <c r="AL55" s="43"/>
      <c r="AM55" s="43"/>
      <c r="AN55" s="43"/>
    </row>
  </sheetData>
  <sheetProtection algorithmName="SHA-512" hashValue="oJDlLBjBGwKfqlwnM3XFHJiDoW3EUcmJU6M/VO1SQTNP1vpFMgF1/hnPwySUpdLxO05DdE7uC52r7YlsA4u7rA==" saltValue="RBxgbxM5oX7eD5VZ6dT/sQ==" spinCount="100000" sheet="1" objects="1" scenarios="1"/>
  <mergeCells count="20">
    <mergeCell ref="B2:J2"/>
    <mergeCell ref="B4:J4"/>
    <mergeCell ref="B5:J17"/>
    <mergeCell ref="B18:J31"/>
    <mergeCell ref="B40:J47"/>
    <mergeCell ref="V4:AD4"/>
    <mergeCell ref="V5:AD17"/>
    <mergeCell ref="V18:AD31"/>
    <mergeCell ref="V32:AD47"/>
    <mergeCell ref="B48:J55"/>
    <mergeCell ref="B32:J39"/>
    <mergeCell ref="L4:T4"/>
    <mergeCell ref="L5:T17"/>
    <mergeCell ref="L18:T31"/>
    <mergeCell ref="AP4:AX4"/>
    <mergeCell ref="AP5:AX17"/>
    <mergeCell ref="AP18:AX31"/>
    <mergeCell ref="AF4:AN4"/>
    <mergeCell ref="AF5:AN17"/>
    <mergeCell ref="AF18:AN3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6B39-696C-472C-9AC7-AB246557EB1A}">
  <dimension ref="A1:AD45"/>
  <sheetViews>
    <sheetView zoomScale="85" zoomScaleNormal="85" workbookViewId="0">
      <selection activeCell="I13" sqref="I13"/>
    </sheetView>
  </sheetViews>
  <sheetFormatPr baseColWidth="10" defaultRowHeight="14.4" x14ac:dyDescent="0.3"/>
  <cols>
    <col min="1" max="1" width="41.21875" style="47" customWidth="1"/>
    <col min="2" max="2" width="8.5546875" style="47" bestFit="1" customWidth="1"/>
    <col min="3" max="3" width="15.6640625" style="47" customWidth="1"/>
    <col min="4" max="4" width="15.44140625" style="47" bestFit="1" customWidth="1"/>
    <col min="5" max="5" width="19.6640625" style="47" customWidth="1"/>
    <col min="6" max="6" width="19.21875" style="47" customWidth="1"/>
    <col min="7" max="7" width="16.21875" style="47" customWidth="1"/>
    <col min="8" max="8" width="14" style="47" customWidth="1"/>
    <col min="9" max="10" width="14.6640625" style="47" bestFit="1" customWidth="1"/>
    <col min="11" max="11" width="36.6640625" style="47" bestFit="1" customWidth="1"/>
    <col min="12" max="12" width="14.44140625" style="47" bestFit="1" customWidth="1"/>
    <col min="13" max="13" width="11.33203125" style="47" bestFit="1" customWidth="1"/>
    <col min="14" max="14" width="11.21875" style="47" customWidth="1"/>
    <col min="15" max="15" width="10.44140625" style="47" customWidth="1"/>
    <col min="16" max="16" width="10.21875" style="47" bestFit="1" customWidth="1"/>
    <col min="17" max="17" width="33.44140625" style="47" bestFit="1" customWidth="1"/>
    <col min="18" max="18" width="5" style="47" customWidth="1"/>
    <col min="19" max="19" width="8.33203125" style="47" customWidth="1"/>
    <col min="20" max="20" width="14.5546875" style="47" customWidth="1"/>
    <col min="21" max="24" width="11.5546875" style="47"/>
    <col min="25" max="25" width="39.5546875" style="47" customWidth="1"/>
    <col min="26" max="16384" width="11.5546875" style="47"/>
  </cols>
  <sheetData>
    <row r="1" spans="1:30" ht="15" thickBot="1" x14ac:dyDescent="0.35">
      <c r="K1" s="48"/>
      <c r="L1" s="225" t="s">
        <v>357</v>
      </c>
      <c r="M1" s="226"/>
      <c r="N1" s="226"/>
      <c r="O1" s="226"/>
      <c r="P1" s="227"/>
      <c r="Q1" s="82" t="s">
        <v>358</v>
      </c>
    </row>
    <row r="2" spans="1:30" ht="15" thickBot="1" x14ac:dyDescent="0.35">
      <c r="A2" s="64" t="s">
        <v>91</v>
      </c>
      <c r="B2" s="65"/>
      <c r="C2" s="49" t="s">
        <v>200</v>
      </c>
      <c r="F2" s="108" t="s">
        <v>233</v>
      </c>
      <c r="J2" s="221" t="s">
        <v>228</v>
      </c>
      <c r="K2" s="222"/>
      <c r="L2" s="83" t="s">
        <v>342</v>
      </c>
      <c r="M2" s="83" t="s">
        <v>343</v>
      </c>
      <c r="N2" s="84" t="s">
        <v>231</v>
      </c>
      <c r="O2" s="84" t="s">
        <v>232</v>
      </c>
      <c r="P2" s="85" t="s">
        <v>333</v>
      </c>
      <c r="Q2" s="86" t="s">
        <v>342</v>
      </c>
      <c r="S2" s="51"/>
      <c r="T2" s="51"/>
      <c r="U2" s="51"/>
      <c r="V2" s="52"/>
      <c r="W2" s="52"/>
      <c r="X2" s="52"/>
      <c r="Y2" s="52"/>
      <c r="Z2" s="52"/>
      <c r="AA2" s="52"/>
      <c r="AB2" s="52"/>
      <c r="AC2" s="52"/>
      <c r="AD2" s="52"/>
    </row>
    <row r="3" spans="1:30" x14ac:dyDescent="0.3">
      <c r="A3" s="66" t="s">
        <v>241</v>
      </c>
      <c r="B3" s="65"/>
      <c r="F3" s="106" t="s">
        <v>234</v>
      </c>
      <c r="G3" s="53">
        <v>200</v>
      </c>
      <c r="J3" s="106" t="s">
        <v>9</v>
      </c>
      <c r="K3" s="107" t="s">
        <v>331</v>
      </c>
      <c r="L3" s="54">
        <v>111.11109999999999</v>
      </c>
      <c r="M3" s="55"/>
      <c r="N3" s="56"/>
      <c r="O3" s="56"/>
      <c r="P3" s="57"/>
      <c r="Q3" s="58"/>
      <c r="S3" s="52"/>
      <c r="T3" s="52"/>
      <c r="U3" s="52"/>
      <c r="V3" s="52"/>
      <c r="W3" s="52"/>
      <c r="X3" s="52"/>
      <c r="Y3" s="52"/>
      <c r="Z3" s="52"/>
      <c r="AA3" s="52"/>
      <c r="AB3" s="52"/>
      <c r="AC3" s="52"/>
      <c r="AD3" s="52"/>
    </row>
    <row r="4" spans="1:30" ht="16.2" x14ac:dyDescent="0.3">
      <c r="A4" s="67" t="s">
        <v>32</v>
      </c>
      <c r="B4" s="68" t="s">
        <v>437</v>
      </c>
      <c r="C4" s="65">
        <f>HLOOKUP(C2,'Valores c. de la madera'!Q2:CV28,3)</f>
        <v>24</v>
      </c>
      <c r="D4" s="65"/>
      <c r="E4" s="65"/>
      <c r="F4" s="67" t="s">
        <v>235</v>
      </c>
      <c r="G4" s="53">
        <v>400</v>
      </c>
      <c r="J4" s="67" t="s">
        <v>330</v>
      </c>
      <c r="K4" s="91" t="s">
        <v>332</v>
      </c>
      <c r="L4" s="54"/>
      <c r="M4" s="55"/>
      <c r="N4" s="56"/>
      <c r="O4" s="56"/>
      <c r="P4" s="57"/>
      <c r="Q4" s="58"/>
      <c r="S4" s="52"/>
      <c r="T4" s="52"/>
      <c r="U4" s="52"/>
      <c r="V4" s="52"/>
      <c r="W4" s="52"/>
      <c r="X4" s="52"/>
      <c r="Y4" s="52"/>
      <c r="Z4" s="52"/>
      <c r="AA4" s="52"/>
      <c r="AB4" s="52"/>
      <c r="AC4" s="52"/>
      <c r="AD4" s="52"/>
    </row>
    <row r="5" spans="1:30" ht="16.2" x14ac:dyDescent="0.35">
      <c r="A5" s="67" t="s">
        <v>33</v>
      </c>
      <c r="B5" s="69" t="s">
        <v>438</v>
      </c>
      <c r="C5" s="74">
        <f>HLOOKUP(C2,'Valores c. de la madera'!Q2:CV28,4)</f>
        <v>16.5</v>
      </c>
      <c r="D5" s="65"/>
      <c r="E5" s="65"/>
      <c r="J5" s="67" t="s">
        <v>229</v>
      </c>
      <c r="K5" s="91" t="s">
        <v>259</v>
      </c>
      <c r="L5" s="54">
        <v>133.33333300000001</v>
      </c>
      <c r="M5" s="55"/>
      <c r="N5" s="56"/>
      <c r="O5" s="56"/>
      <c r="P5" s="57"/>
      <c r="Q5" s="58"/>
      <c r="S5" s="52"/>
      <c r="T5" s="52"/>
      <c r="U5" s="52"/>
      <c r="V5" s="52"/>
      <c r="W5" s="52"/>
      <c r="X5" s="52"/>
      <c r="Y5" s="52"/>
      <c r="Z5" s="52"/>
      <c r="AA5" s="52"/>
      <c r="AB5" s="52"/>
      <c r="AC5" s="52"/>
      <c r="AD5" s="52"/>
    </row>
    <row r="6" spans="1:30" ht="16.2" x14ac:dyDescent="0.35">
      <c r="A6" s="67" t="s">
        <v>34</v>
      </c>
      <c r="B6" s="69" t="s">
        <v>440</v>
      </c>
      <c r="C6" s="65">
        <f>HLOOKUP(C2,'Valores c. de la madera'!Q2:CV28,5)</f>
        <v>0.4</v>
      </c>
      <c r="D6" s="65"/>
      <c r="E6" s="65"/>
      <c r="J6" s="67" t="s">
        <v>471</v>
      </c>
      <c r="K6" s="91" t="s">
        <v>474</v>
      </c>
      <c r="L6" s="54"/>
      <c r="M6" s="55"/>
      <c r="N6" s="56"/>
      <c r="O6" s="56"/>
      <c r="P6" s="57"/>
      <c r="Q6" s="58"/>
      <c r="S6" s="52"/>
      <c r="T6" s="52"/>
      <c r="U6" s="52"/>
      <c r="V6" s="52"/>
      <c r="W6" s="52"/>
      <c r="X6" s="52"/>
      <c r="Y6" s="52"/>
      <c r="Z6" s="52"/>
      <c r="AA6" s="52"/>
      <c r="AB6" s="52"/>
      <c r="AC6" s="52"/>
      <c r="AD6" s="52"/>
    </row>
    <row r="7" spans="1:30" ht="16.2" x14ac:dyDescent="0.35">
      <c r="A7" s="67" t="s">
        <v>35</v>
      </c>
      <c r="B7" s="69" t="s">
        <v>439</v>
      </c>
      <c r="C7" s="65">
        <f>HLOOKUP(C2,'Valores c. de la madera'!Q2:CV28,6)</f>
        <v>24</v>
      </c>
      <c r="D7" s="65"/>
      <c r="E7" s="65"/>
      <c r="J7" s="67" t="s">
        <v>472</v>
      </c>
      <c r="K7" s="91" t="s">
        <v>475</v>
      </c>
      <c r="L7" s="54"/>
      <c r="M7" s="55"/>
      <c r="N7" s="56"/>
      <c r="O7" s="56"/>
      <c r="P7" s="57"/>
      <c r="Q7" s="58"/>
      <c r="S7" s="52"/>
      <c r="T7" s="52"/>
      <c r="U7" s="52"/>
      <c r="V7" s="52"/>
      <c r="W7" s="52"/>
      <c r="X7" s="52"/>
      <c r="Y7" s="52"/>
      <c r="Z7" s="52"/>
      <c r="AA7" s="52"/>
      <c r="AB7" s="52"/>
      <c r="AC7" s="52"/>
      <c r="AD7" s="52"/>
    </row>
    <row r="8" spans="1:30" ht="16.2" x14ac:dyDescent="0.35">
      <c r="A8" s="67" t="s">
        <v>36</v>
      </c>
      <c r="B8" s="69" t="s">
        <v>441</v>
      </c>
      <c r="C8" s="65">
        <f>HLOOKUP(C2,'Valores c. de la madera'!Q2:CV28,7)</f>
        <v>2.7</v>
      </c>
      <c r="D8" s="74"/>
      <c r="E8" s="74"/>
      <c r="F8" s="52"/>
      <c r="G8" s="52"/>
      <c r="H8" s="52"/>
      <c r="J8" s="60"/>
      <c r="L8" s="60"/>
      <c r="M8" s="60"/>
      <c r="N8" s="61"/>
      <c r="S8" s="52"/>
      <c r="T8" s="52"/>
      <c r="U8" s="52"/>
      <c r="V8" s="52"/>
      <c r="W8" s="52"/>
      <c r="X8" s="52"/>
      <c r="Y8" s="52"/>
      <c r="Z8" s="52"/>
      <c r="AA8" s="52"/>
      <c r="AB8" s="52"/>
      <c r="AC8" s="52"/>
      <c r="AD8" s="52"/>
    </row>
    <row r="9" spans="1:30" ht="16.8" thickBot="1" x14ac:dyDescent="0.4">
      <c r="A9" s="67" t="s">
        <v>37</v>
      </c>
      <c r="B9" s="69" t="s">
        <v>446</v>
      </c>
      <c r="C9" s="65">
        <f>HLOOKUP(C2,'Valores c. de la madera'!Q2:CV28,8)</f>
        <v>2.7</v>
      </c>
      <c r="D9" s="65"/>
      <c r="E9" s="65"/>
      <c r="I9" s="65"/>
      <c r="J9" s="65"/>
      <c r="K9" s="81"/>
      <c r="L9" s="225" t="s">
        <v>357</v>
      </c>
      <c r="M9" s="226"/>
      <c r="N9" s="226"/>
      <c r="O9" s="226"/>
      <c r="P9" s="227"/>
      <c r="Q9" s="82" t="s">
        <v>358</v>
      </c>
      <c r="S9" s="52"/>
      <c r="T9" s="52"/>
      <c r="U9" s="52"/>
      <c r="V9" s="52"/>
      <c r="W9" s="52"/>
      <c r="X9" s="52"/>
      <c r="Y9" s="52"/>
      <c r="Z9" s="52"/>
      <c r="AA9" s="52"/>
      <c r="AB9" s="52"/>
      <c r="AC9" s="52"/>
      <c r="AD9" s="52"/>
    </row>
    <row r="10" spans="1:30" x14ac:dyDescent="0.3">
      <c r="A10" s="70" t="s">
        <v>45</v>
      </c>
      <c r="B10" s="65"/>
      <c r="C10" s="65"/>
      <c r="D10" s="65"/>
      <c r="E10" s="65"/>
      <c r="I10" s="65"/>
      <c r="J10" s="223" t="s">
        <v>230</v>
      </c>
      <c r="K10" s="224"/>
      <c r="L10" s="83" t="s">
        <v>342</v>
      </c>
      <c r="M10" s="84" t="s">
        <v>343</v>
      </c>
      <c r="N10" s="84" t="s">
        <v>231</v>
      </c>
      <c r="O10" s="84" t="s">
        <v>232</v>
      </c>
      <c r="P10" s="85" t="s">
        <v>333</v>
      </c>
      <c r="Q10" s="86" t="s">
        <v>342</v>
      </c>
      <c r="S10" s="52"/>
      <c r="T10" s="52"/>
      <c r="U10" s="52"/>
      <c r="V10" s="52"/>
      <c r="W10" s="52"/>
      <c r="X10" s="52"/>
      <c r="Y10" s="52"/>
      <c r="Z10" s="52"/>
      <c r="AA10" s="52"/>
      <c r="AB10" s="52"/>
      <c r="AC10" s="52"/>
      <c r="AD10" s="52"/>
    </row>
    <row r="11" spans="1:30" ht="16.2" x14ac:dyDescent="0.35">
      <c r="A11" s="71" t="s">
        <v>90</v>
      </c>
      <c r="B11" s="69" t="s">
        <v>457</v>
      </c>
      <c r="C11" s="65">
        <f>HLOOKUP(C2,'Valores c. de la madera'!Q2:CV28,10)</f>
        <v>11.6</v>
      </c>
      <c r="D11" s="65"/>
      <c r="E11" s="65"/>
      <c r="I11" s="67" t="s">
        <v>223</v>
      </c>
      <c r="J11" s="67" t="s">
        <v>334</v>
      </c>
      <c r="K11" s="87" t="s">
        <v>493</v>
      </c>
      <c r="L11" s="88">
        <f>1.35*L3</f>
        <v>149.99998500000001</v>
      </c>
      <c r="M11" s="88">
        <f>1.35*M3</f>
        <v>0</v>
      </c>
      <c r="N11" s="144">
        <f>1.35*N3</f>
        <v>0</v>
      </c>
      <c r="O11" s="144">
        <f>1.35*O3</f>
        <v>0</v>
      </c>
      <c r="P11" s="89">
        <f>1.35*P3</f>
        <v>0</v>
      </c>
      <c r="Q11" s="287">
        <f t="shared" ref="Q11" si="0">1.35*Q3+1.5*Q4</f>
        <v>0</v>
      </c>
      <c r="S11" s="52"/>
      <c r="T11" s="52"/>
      <c r="U11" s="52"/>
      <c r="V11" s="52"/>
      <c r="W11" s="52"/>
      <c r="X11" s="52"/>
      <c r="Y11" s="52"/>
      <c r="Z11" s="52"/>
      <c r="AA11" s="52"/>
      <c r="AB11" s="52"/>
      <c r="AC11" s="52"/>
      <c r="AD11" s="52"/>
    </row>
    <row r="12" spans="1:30" ht="16.2" x14ac:dyDescent="0.35">
      <c r="A12" s="71" t="s">
        <v>88</v>
      </c>
      <c r="B12" s="69" t="s">
        <v>459</v>
      </c>
      <c r="C12" s="65">
        <f>HLOOKUP(C2,'Valores c. de la madera'!Q2:CV28,11)</f>
        <v>9.4</v>
      </c>
      <c r="D12" s="65"/>
      <c r="E12" s="65"/>
      <c r="I12" s="67" t="s">
        <v>225</v>
      </c>
      <c r="J12" s="67" t="s">
        <v>335</v>
      </c>
      <c r="K12" s="91" t="s">
        <v>492</v>
      </c>
      <c r="L12" s="88">
        <f>1.35*L3+1.5*L4+(1.5*0.5*L5)</f>
        <v>249.99998475000001</v>
      </c>
      <c r="M12" s="88">
        <f t="shared" ref="M12:Q12" si="1">1.35*M3+1.5*M4+(1.5*0.5*M5)</f>
        <v>0</v>
      </c>
      <c r="N12" s="144">
        <f t="shared" si="1"/>
        <v>0</v>
      </c>
      <c r="O12" s="144">
        <f t="shared" si="1"/>
        <v>0</v>
      </c>
      <c r="P12" s="92">
        <f t="shared" si="1"/>
        <v>0</v>
      </c>
      <c r="Q12" s="90">
        <f t="shared" si="1"/>
        <v>0</v>
      </c>
      <c r="S12" s="52"/>
      <c r="T12" s="52"/>
      <c r="U12" s="52"/>
      <c r="V12" s="52"/>
      <c r="W12" s="52"/>
      <c r="X12" s="52"/>
      <c r="Y12" s="52"/>
      <c r="Z12" s="52"/>
      <c r="AA12" s="52"/>
      <c r="AB12" s="52"/>
      <c r="AC12" s="52"/>
      <c r="AD12" s="52"/>
    </row>
    <row r="13" spans="1:30" ht="16.2" x14ac:dyDescent="0.35">
      <c r="A13" s="71" t="s">
        <v>89</v>
      </c>
      <c r="B13" s="69" t="s">
        <v>458</v>
      </c>
      <c r="C13" s="65">
        <f>HLOOKUP(C2,'Valores c. de la madera'!Q2:CV28,12)</f>
        <v>0.39</v>
      </c>
      <c r="D13" s="65"/>
      <c r="E13" s="65"/>
      <c r="I13" s="67" t="s">
        <v>226</v>
      </c>
      <c r="J13" s="67" t="s">
        <v>336</v>
      </c>
      <c r="K13" s="288" t="s">
        <v>495</v>
      </c>
      <c r="L13" s="88">
        <f>1.35*L3+(1.5*0.7*L4)+(1.5*L5)</f>
        <v>349.99998449999998</v>
      </c>
      <c r="M13" s="88">
        <f t="shared" ref="M13:Q13" si="2">1.35*M3+(1.5*0.7*M4)+(1.5*M5)</f>
        <v>0</v>
      </c>
      <c r="N13" s="144">
        <f t="shared" si="2"/>
        <v>0</v>
      </c>
      <c r="O13" s="144">
        <f t="shared" si="2"/>
        <v>0</v>
      </c>
      <c r="P13" s="92">
        <f t="shared" si="2"/>
        <v>0</v>
      </c>
      <c r="Q13" s="90">
        <f t="shared" si="2"/>
        <v>0</v>
      </c>
      <c r="S13" s="52"/>
      <c r="T13" s="51"/>
      <c r="U13" s="51"/>
      <c r="V13" s="51"/>
    </row>
    <row r="14" spans="1:30" ht="16.2" x14ac:dyDescent="0.35">
      <c r="A14" s="72" t="s">
        <v>49</v>
      </c>
      <c r="B14" s="69" t="s">
        <v>460</v>
      </c>
      <c r="C14" s="65">
        <f>HLOOKUP(C2,'Valores c. de la madera'!Q2:CV28,13)</f>
        <v>0.72</v>
      </c>
      <c r="D14" s="65"/>
      <c r="E14" s="65"/>
      <c r="I14" s="67" t="s">
        <v>226</v>
      </c>
      <c r="J14" s="67" t="s">
        <v>337</v>
      </c>
      <c r="K14" s="91" t="s">
        <v>473</v>
      </c>
      <c r="L14" s="88">
        <f>1.35*L3+1.5*L4+(1.5*0.5*L5)+(1.5*0.5*L6)</f>
        <v>249.99998475000001</v>
      </c>
      <c r="M14" s="88">
        <f>1.35*M3+1.5*M4+(1.5*0.5*M5)+(1.5*0.5*M6)</f>
        <v>0</v>
      </c>
      <c r="N14" s="144">
        <f>1.35*N3+1.5*N4+(1.5*0.5*N5)+(1.5*0.5*N6)</f>
        <v>0</v>
      </c>
      <c r="O14" s="144">
        <f>1.35*O3+1.5*O4+(1.5*0.5*O5)+(1.5*0.5*O6)</f>
        <v>0</v>
      </c>
      <c r="P14" s="92">
        <f>1.35*P3+1.5*P4+(1.5*0.5*P5)+(1.5*0.5*P6)</f>
        <v>0</v>
      </c>
      <c r="Q14" s="92">
        <f>1.35*Q3+1.5*Q4+(1.5*0.5*Q5)+(1.5*0.5*Q6)</f>
        <v>0</v>
      </c>
      <c r="S14" s="52"/>
      <c r="T14" s="52"/>
      <c r="U14" s="52"/>
      <c r="V14" s="52"/>
    </row>
    <row r="15" spans="1:30" x14ac:dyDescent="0.3">
      <c r="A15" s="70" t="s">
        <v>54</v>
      </c>
      <c r="B15" s="65"/>
      <c r="C15" s="65"/>
      <c r="D15" s="65"/>
      <c r="E15" s="65"/>
      <c r="I15" s="67" t="s">
        <v>226</v>
      </c>
      <c r="J15" s="67" t="s">
        <v>338</v>
      </c>
      <c r="K15" s="91" t="s">
        <v>476</v>
      </c>
      <c r="L15" s="88">
        <f>1.35*L3+1.5*L4+(1.5*0.5*L5)+(1.5*0.5*L7)</f>
        <v>249.99998475000001</v>
      </c>
      <c r="M15" s="88">
        <f>1.35*M3+1.5*M4+(1.5*0.5*M5)+(1.5*0.5*M7)</f>
        <v>0</v>
      </c>
      <c r="N15" s="144">
        <f>1.35*N3+1.5*N4+(1.5*0.5*N5)+(1.5*0.5*N7)</f>
        <v>0</v>
      </c>
      <c r="O15" s="144">
        <f>1.35*O3+1.5*O4+(1.5*0.5*O5)+(1.5*0.5*O7)</f>
        <v>0</v>
      </c>
      <c r="P15" s="92">
        <f>1.35*P3+1.5*P4+(1.5*0.5*P5)+(1.5*0.5*P7)</f>
        <v>0</v>
      </c>
      <c r="Q15" s="90">
        <f>1.35*Q3+1.5*Q4+(1.5*0.5*Q5)+(1.5*0.5*Q7)</f>
        <v>0</v>
      </c>
      <c r="S15" s="52"/>
      <c r="T15" s="52"/>
      <c r="U15" s="52"/>
      <c r="V15" s="52"/>
    </row>
    <row r="16" spans="1:30" ht="16.2" x14ac:dyDescent="0.35">
      <c r="A16" s="73" t="s">
        <v>55</v>
      </c>
      <c r="B16" s="69" t="s">
        <v>461</v>
      </c>
      <c r="C16" s="65">
        <f>HLOOKUP(C2,'Valores c. de la madera'!Q2:CV28,15)</f>
        <v>380</v>
      </c>
      <c r="D16" s="65"/>
      <c r="E16" s="65"/>
      <c r="I16" s="67" t="s">
        <v>226</v>
      </c>
      <c r="J16" s="67" t="s">
        <v>339</v>
      </c>
      <c r="K16" s="91" t="s">
        <v>477</v>
      </c>
      <c r="L16" s="88">
        <f>1.35*L3+(1.5*0.7*L4)+(1.5*L5)+(1.5*0.5*L6)</f>
        <v>349.99998449999998</v>
      </c>
      <c r="M16" s="88">
        <f>1.35*M3+(1.5*0.7*M4)+(1.5*M5)+(1.5*0.5*M6)</f>
        <v>0</v>
      </c>
      <c r="N16" s="144">
        <f>1.35*N3+(1.5*0.7*N4)+(1.5*N5)+(1.5*0.5*N6)</f>
        <v>0</v>
      </c>
      <c r="O16" s="144">
        <f>1.35*O3+(1.5*0.7*O4)+(1.5*O5)+(1.5*0.5*O6)</f>
        <v>0</v>
      </c>
      <c r="P16" s="92">
        <f>1.35*P3+(1.5*0.7*P4)+(1.5*P5)+(1.5*0.5*P6)</f>
        <v>0</v>
      </c>
      <c r="Q16" s="90">
        <f>1.35*Q3+(1.5*0.7*Q4)+(1.5*Q5)+(1.5*0.5*Q6)</f>
        <v>0</v>
      </c>
      <c r="S16" s="52"/>
      <c r="T16" s="52"/>
      <c r="U16" s="52"/>
      <c r="V16" s="52"/>
    </row>
    <row r="17" spans="1:30" ht="16.2" x14ac:dyDescent="0.35">
      <c r="A17" s="73" t="s">
        <v>56</v>
      </c>
      <c r="B17" s="69" t="s">
        <v>462</v>
      </c>
      <c r="C17" s="65">
        <f>HLOOKUP(C2,'Valores c. de la madera'!Q2:CV28,16)</f>
        <v>0</v>
      </c>
      <c r="D17" s="65"/>
      <c r="E17" s="65"/>
      <c r="I17" s="67" t="s">
        <v>226</v>
      </c>
      <c r="J17" s="67" t="s">
        <v>340</v>
      </c>
      <c r="K17" s="91" t="s">
        <v>478</v>
      </c>
      <c r="L17" s="88">
        <f>1.35*L3+(1.5*0.7*L4)+(1.5*L5)+(1.5*0.5*L7)</f>
        <v>349.99998449999998</v>
      </c>
      <c r="M17" s="88">
        <f>1.35*M3+(1.5*0.7*M4)+(1.5*M5)+(1.5*0.5*M7)</f>
        <v>0</v>
      </c>
      <c r="N17" s="144">
        <f>1.35*N3+(1.5*0.7*N4)+(1.5*N5)+(1.5*0.5*N7)</f>
        <v>0</v>
      </c>
      <c r="O17" s="144">
        <f>1.35*O3+(1.5*0.7*O4)+(1.5*O5)+(1.5*0.5*O7)</f>
        <v>0</v>
      </c>
      <c r="P17" s="92">
        <f>1.35*P3+(1.5*0.7*P4)+(1.5*P5)+(1.5*0.5*P7)</f>
        <v>0</v>
      </c>
      <c r="Q17" s="90">
        <f>1.35*Q3+(1.5*0.7*Q4)+(1.5*Q5)+(1.5*0.5*Q7)</f>
        <v>0</v>
      </c>
      <c r="S17" s="52"/>
      <c r="T17" s="52"/>
      <c r="U17" s="52"/>
      <c r="V17" s="52"/>
    </row>
    <row r="18" spans="1:30" ht="15" thickBot="1" x14ac:dyDescent="0.35">
      <c r="A18" s="65"/>
      <c r="B18" s="65"/>
      <c r="C18" s="65"/>
      <c r="D18" s="65"/>
      <c r="E18" s="65"/>
      <c r="I18" s="67" t="s">
        <v>226</v>
      </c>
      <c r="J18" s="67" t="s">
        <v>341</v>
      </c>
      <c r="K18" s="91" t="s">
        <v>479</v>
      </c>
      <c r="L18" s="88">
        <f>1.35*L3+(1.5*0.7*L4)+(1.5*0.5*L5)+(1.5*L6)</f>
        <v>249.99998475000001</v>
      </c>
      <c r="M18" s="88">
        <f>1.35*M3+(1.5*0.7*M4)+(1.5*0.5*M5)+(1.5*M6)</f>
        <v>0</v>
      </c>
      <c r="N18" s="144">
        <f>1.35*N3+(1.5*0.7*N4)+(1.5*0.5*N5)+(1.5*N6)</f>
        <v>0</v>
      </c>
      <c r="O18" s="144">
        <f>1.35*O3+(1.5*0.7*O4)+(1.5*0.5*O5)+(1.5*O6)</f>
        <v>0</v>
      </c>
      <c r="P18" s="92">
        <f>1.35*P3+(1.5*0.7*P4)+(1.5*0.5*P5)+(1.5*P6)</f>
        <v>0</v>
      </c>
      <c r="Q18" s="90">
        <f>1.35*Q3+(1.5*0.7*Q4)+(1.5*0.5*Q5)+(1.5*Q6)</f>
        <v>0</v>
      </c>
      <c r="S18" s="52"/>
      <c r="T18" s="52"/>
      <c r="U18" s="52"/>
      <c r="V18" s="52"/>
    </row>
    <row r="19" spans="1:30" ht="15" thickBot="1" x14ac:dyDescent="0.35">
      <c r="A19" s="64" t="s">
        <v>92</v>
      </c>
      <c r="B19" s="74"/>
      <c r="C19" s="77"/>
      <c r="D19" s="77"/>
      <c r="E19" s="65"/>
      <c r="I19" s="67" t="s">
        <v>226</v>
      </c>
      <c r="J19" s="67" t="s">
        <v>494</v>
      </c>
      <c r="K19" s="91" t="s">
        <v>480</v>
      </c>
      <c r="L19" s="88">
        <f>1.35*L3+(1.5*0.7*L4)+(1.5*0.5*L5)+(1.5*L7)</f>
        <v>249.99998475000001</v>
      </c>
      <c r="M19" s="88">
        <f>1.35*M3+(1.5*0.7*M4)+(1.5*0.5*M5)+(1.5*M7)</f>
        <v>0</v>
      </c>
      <c r="N19" s="144">
        <f>1.35*N3+(1.5*0.7*N4)+(1.5*0.5*N5)+(1.5*N7)</f>
        <v>0</v>
      </c>
      <c r="O19" s="144">
        <f>1.35*O3+(1.5*0.7*O4)+(1.5*0.5*O5)+(1.5*O7)</f>
        <v>0</v>
      </c>
      <c r="P19" s="92">
        <f>1.35*P3+(1.5*0.7*P4)+(1.5*0.5*P5)+(1.5*P7)</f>
        <v>0</v>
      </c>
      <c r="Q19" s="90">
        <f>1.35*Q3+(1.5*0.7*Q4)+(1.5*0.5*Q5)+(1.5*Q7)</f>
        <v>0</v>
      </c>
      <c r="S19" s="52"/>
      <c r="T19" s="52"/>
      <c r="U19" s="52"/>
      <c r="V19" s="52"/>
      <c r="W19" s="52"/>
      <c r="X19" s="52"/>
      <c r="Y19" s="52"/>
      <c r="Z19" s="52"/>
      <c r="AA19" s="52"/>
      <c r="AB19" s="52"/>
      <c r="AC19" s="52"/>
      <c r="AD19" s="52"/>
    </row>
    <row r="20" spans="1:30" x14ac:dyDescent="0.3">
      <c r="A20" s="75" t="s">
        <v>125</v>
      </c>
      <c r="B20" s="65"/>
      <c r="C20" s="78">
        <f>HLOOKUP(C2,'Valores c. de la madera'!Q2:CV28,19)</f>
        <v>1.25</v>
      </c>
      <c r="D20" s="65"/>
      <c r="E20" s="65"/>
      <c r="I20" s="74"/>
      <c r="J20" s="74"/>
      <c r="K20" s="74"/>
      <c r="L20" s="93"/>
      <c r="M20" s="93"/>
      <c r="N20" s="94"/>
      <c r="O20" s="94"/>
      <c r="P20" s="94"/>
      <c r="Q20" s="93"/>
      <c r="S20" s="52"/>
      <c r="T20" s="52"/>
      <c r="U20" s="52"/>
      <c r="V20" s="52"/>
      <c r="W20" s="52"/>
      <c r="X20" s="52"/>
      <c r="Y20" s="52"/>
      <c r="Z20" s="52"/>
      <c r="AA20" s="52"/>
      <c r="AB20" s="52"/>
      <c r="AC20" s="52"/>
      <c r="AD20" s="52"/>
    </row>
    <row r="21" spans="1:30" x14ac:dyDescent="0.3">
      <c r="A21" s="76" t="s">
        <v>222</v>
      </c>
      <c r="B21" s="65"/>
      <c r="C21" s="79" t="s">
        <v>223</v>
      </c>
      <c r="D21" s="79" t="s">
        <v>224</v>
      </c>
      <c r="E21" s="79" t="s">
        <v>225</v>
      </c>
      <c r="F21" s="79" t="s">
        <v>226</v>
      </c>
      <c r="G21" s="79" t="s">
        <v>227</v>
      </c>
      <c r="I21" s="74"/>
      <c r="J21" s="74"/>
      <c r="K21" s="74"/>
      <c r="L21" s="93"/>
      <c r="M21" s="93"/>
      <c r="N21" s="94"/>
      <c r="O21" s="94"/>
      <c r="P21" s="94"/>
      <c r="Q21" s="93"/>
      <c r="S21" s="52"/>
      <c r="T21" s="52"/>
      <c r="U21" s="52"/>
      <c r="V21" s="52"/>
      <c r="W21" s="52"/>
      <c r="X21" s="52"/>
      <c r="Y21" s="52"/>
      <c r="Z21" s="52"/>
      <c r="AA21" s="52"/>
      <c r="AB21" s="52"/>
      <c r="AC21" s="52"/>
      <c r="AD21" s="52"/>
    </row>
    <row r="22" spans="1:30" x14ac:dyDescent="0.3">
      <c r="A22" s="65"/>
      <c r="B22" s="65"/>
      <c r="C22" s="78">
        <f>HLOOKUP(C2,'Valores c. de la madera'!Q2:CV28,21)</f>
        <v>0.5</v>
      </c>
      <c r="D22" s="78">
        <f>HLOOKUP(C2,'Valores c. de la madera'!Q2:CV28,22)</f>
        <v>0.55000000000000004</v>
      </c>
      <c r="E22" s="78">
        <f>HLOOKUP(C2,'Valores c. de la madera'!Q2:CV28,23)</f>
        <v>0.65</v>
      </c>
      <c r="F22" s="78">
        <f>HLOOKUP(C2,'Valores c. de la madera'!Q2:CV28,24)</f>
        <v>0.7</v>
      </c>
      <c r="G22" s="78">
        <f>HLOOKUP(C2,'Valores c. de la madera'!Q2:CV28,25)</f>
        <v>0.9</v>
      </c>
      <c r="I22" s="74"/>
      <c r="J22" s="74"/>
      <c r="K22" s="74"/>
      <c r="L22" s="93"/>
      <c r="M22" s="93"/>
      <c r="N22" s="94"/>
      <c r="O22" s="94"/>
      <c r="P22" s="94"/>
      <c r="Q22" s="93"/>
      <c r="S22" s="52"/>
      <c r="T22" s="52"/>
      <c r="U22" s="52"/>
      <c r="V22" s="52"/>
      <c r="W22" s="52"/>
      <c r="X22" s="52"/>
      <c r="Y22" s="52"/>
      <c r="Z22" s="52"/>
      <c r="AA22" s="52"/>
    </row>
    <row r="23" spans="1:30" x14ac:dyDescent="0.3">
      <c r="A23" s="76" t="s">
        <v>131</v>
      </c>
      <c r="B23" s="65"/>
      <c r="C23" s="78">
        <f>HLOOKUP(C2,'Valores c. de la madera'!Q2:CV28,26)</f>
        <v>0.67</v>
      </c>
      <c r="D23" s="78"/>
      <c r="E23" s="78"/>
      <c r="F23" s="78"/>
      <c r="G23" s="78"/>
      <c r="I23" s="65"/>
      <c r="J23" s="65"/>
      <c r="K23" s="74"/>
      <c r="L23" s="95"/>
      <c r="M23" s="95"/>
      <c r="N23" s="95"/>
      <c r="O23" s="95"/>
      <c r="P23" s="95"/>
      <c r="Q23" s="95"/>
      <c r="S23" s="52"/>
      <c r="T23" s="52"/>
      <c r="U23" s="52"/>
      <c r="V23" s="52"/>
      <c r="W23" s="52"/>
      <c r="X23" s="52"/>
      <c r="Y23" s="52"/>
      <c r="Z23" s="52"/>
      <c r="AA23" s="52"/>
    </row>
    <row r="24" spans="1:30" x14ac:dyDescent="0.3">
      <c r="A24" s="76" t="s">
        <v>132</v>
      </c>
      <c r="B24" s="65"/>
      <c r="C24" s="78">
        <f>HLOOKUP(C2,'Valores c. de la madera'!Q2:CV28,27)</f>
        <v>0.7</v>
      </c>
      <c r="D24" s="78"/>
      <c r="E24" s="78"/>
      <c r="F24" s="78"/>
      <c r="G24" s="78"/>
      <c r="I24" s="65"/>
      <c r="J24" s="65"/>
      <c r="K24" s="96" t="s">
        <v>427</v>
      </c>
      <c r="L24" s="97">
        <f t="shared" ref="L24:Q24" si="3">MAX(L11:L22)</f>
        <v>349.99998449999998</v>
      </c>
      <c r="M24" s="98">
        <f t="shared" si="3"/>
        <v>0</v>
      </c>
      <c r="N24" s="99">
        <f t="shared" si="3"/>
        <v>0</v>
      </c>
      <c r="O24" s="99">
        <f t="shared" si="3"/>
        <v>0</v>
      </c>
      <c r="P24" s="100">
        <f t="shared" si="3"/>
        <v>0</v>
      </c>
      <c r="Q24" s="101">
        <f t="shared" si="3"/>
        <v>0</v>
      </c>
      <c r="S24" s="52"/>
      <c r="T24" s="52"/>
      <c r="U24" s="52"/>
      <c r="V24" s="52"/>
      <c r="W24" s="52"/>
      <c r="X24" s="52"/>
      <c r="Y24" s="52"/>
      <c r="Z24" s="52"/>
      <c r="AA24" s="52"/>
      <c r="AB24" s="52"/>
      <c r="AC24" s="52"/>
      <c r="AD24" s="52"/>
    </row>
    <row r="25" spans="1:30" x14ac:dyDescent="0.3">
      <c r="A25" s="76" t="s">
        <v>328</v>
      </c>
      <c r="B25" s="65"/>
      <c r="C25" s="78">
        <f>HLOOKUP(C2,'Valores c. de la madera'!Q2:CV29,28)</f>
        <v>1.0413797439924106</v>
      </c>
      <c r="D25" s="78"/>
      <c r="E25" s="78"/>
      <c r="F25" s="78"/>
      <c r="G25" s="78"/>
      <c r="I25" s="65"/>
      <c r="J25" s="65"/>
      <c r="K25" s="96" t="s">
        <v>428</v>
      </c>
      <c r="L25" s="102" t="str">
        <f>INDEX(J11:L22,MATCH(L24,L11:L22,0),1)</f>
        <v>C3</v>
      </c>
      <c r="M25" s="103" t="str">
        <f>INDEX(J11:M22,MATCH(M24,M11:M22,0),1)</f>
        <v>C1</v>
      </c>
      <c r="N25" s="103" t="str">
        <f>INDEX(J11:N22,MATCH(N24,N11:N22,0),1)</f>
        <v>C1</v>
      </c>
      <c r="O25" s="103" t="str">
        <f>INDEX(J11:O22,MATCH(O24,O11:O22,0),1)</f>
        <v>C1</v>
      </c>
      <c r="P25" s="104" t="str">
        <f>INDEX(J11:P22,MATCH(P24,P11:P22,0),1)</f>
        <v>C1</v>
      </c>
      <c r="Q25" s="105" t="str">
        <f>INDEX(J11:Q22,MATCH(Q24,Q11:Q22,0),1)</f>
        <v>C1</v>
      </c>
      <c r="S25" s="52"/>
      <c r="T25" s="52"/>
      <c r="U25" s="52"/>
      <c r="V25" s="52"/>
      <c r="W25" s="52"/>
      <c r="X25" s="52"/>
      <c r="Y25" s="52"/>
      <c r="Z25" s="52"/>
      <c r="AA25" s="52"/>
      <c r="AB25" s="52"/>
      <c r="AC25" s="52"/>
      <c r="AD25" s="52"/>
    </row>
    <row r="26" spans="1:30" ht="15" thickBot="1" x14ac:dyDescent="0.35">
      <c r="A26" s="65"/>
      <c r="B26" s="65"/>
      <c r="C26" s="65"/>
      <c r="D26" s="65"/>
      <c r="E26" s="65"/>
      <c r="F26" s="65"/>
      <c r="G26" s="65"/>
      <c r="S26" s="52"/>
      <c r="T26" s="52"/>
      <c r="U26" s="52"/>
      <c r="V26" s="52"/>
      <c r="W26" s="52"/>
      <c r="X26" s="52"/>
      <c r="Y26" s="52"/>
      <c r="Z26" s="52"/>
      <c r="AA26" s="52"/>
      <c r="AB26" s="52"/>
      <c r="AC26" s="52"/>
      <c r="AD26" s="52"/>
    </row>
    <row r="27" spans="1:30" ht="15" thickBot="1" x14ac:dyDescent="0.35">
      <c r="A27" s="64" t="s">
        <v>126</v>
      </c>
      <c r="B27" s="65"/>
      <c r="C27" s="79" t="s">
        <v>223</v>
      </c>
      <c r="D27" s="79" t="s">
        <v>224</v>
      </c>
      <c r="E27" s="79" t="s">
        <v>225</v>
      </c>
      <c r="F27" s="79" t="s">
        <v>226</v>
      </c>
      <c r="G27" s="79" t="s">
        <v>227</v>
      </c>
      <c r="S27" s="52"/>
      <c r="T27" s="52"/>
      <c r="U27" s="52"/>
      <c r="V27" s="52"/>
      <c r="W27" s="52"/>
      <c r="X27" s="52"/>
      <c r="Y27" s="52"/>
      <c r="Z27" s="52"/>
      <c r="AA27" s="52"/>
      <c r="AB27" s="52"/>
      <c r="AC27" s="52"/>
      <c r="AD27" s="52"/>
    </row>
    <row r="28" spans="1:30" x14ac:dyDescent="0.3">
      <c r="A28" s="66" t="s">
        <v>241</v>
      </c>
      <c r="B28" s="65"/>
      <c r="C28" s="65"/>
      <c r="D28" s="65"/>
      <c r="E28" s="65"/>
      <c r="F28" s="65"/>
      <c r="G28" s="65"/>
      <c r="S28" s="52"/>
      <c r="T28" s="52"/>
      <c r="U28" s="52"/>
      <c r="V28" s="52"/>
      <c r="W28" s="52"/>
      <c r="X28" s="52"/>
      <c r="Y28" s="52"/>
      <c r="Z28" s="52"/>
      <c r="AA28" s="52"/>
      <c r="AB28" s="52"/>
      <c r="AC28" s="52"/>
      <c r="AD28" s="52"/>
    </row>
    <row r="29" spans="1:30" ht="16.2" customHeight="1" x14ac:dyDescent="0.3">
      <c r="A29" s="67" t="s">
        <v>32</v>
      </c>
      <c r="B29" s="68" t="s">
        <v>437</v>
      </c>
      <c r="C29" s="80">
        <f>C$22*(C4*$C$25/$C$20)</f>
        <v>9.9972455423271409</v>
      </c>
      <c r="D29" s="80">
        <f>D$22*(C4*$C$25/$C$20)</f>
        <v>10.996970096559856</v>
      </c>
      <c r="E29" s="80">
        <f>E$22*(C4*$C$25/$C$20)</f>
        <v>12.996419205025283</v>
      </c>
      <c r="F29" s="80">
        <f>F$22*(C4*$C$25/$C$20)</f>
        <v>13.996143759257997</v>
      </c>
      <c r="G29" s="80">
        <f>G$22*(C4*$C$25/$C$20)</f>
        <v>17.995041976188855</v>
      </c>
    </row>
    <row r="30" spans="1:30" ht="16.2" customHeight="1" x14ac:dyDescent="0.35">
      <c r="A30" s="67" t="s">
        <v>33</v>
      </c>
      <c r="B30" s="69" t="s">
        <v>438</v>
      </c>
      <c r="C30" s="80">
        <f>C$22*(C5*$C$25/$C$20)</f>
        <v>6.8731063103499093</v>
      </c>
      <c r="D30" s="80">
        <f>D$22*(C5*$C$25/$C$20)</f>
        <v>7.5604169413849007</v>
      </c>
      <c r="E30" s="80">
        <f>E$22*(C5*$C$25/$C$20)</f>
        <v>8.9350382034548819</v>
      </c>
      <c r="F30" s="80">
        <f>F$22*(C5*$C$25/$C$20)</f>
        <v>9.6223488344898715</v>
      </c>
      <c r="G30" s="80">
        <f>G$22*(C5*$C$25/$C$20)</f>
        <v>12.371591358629837</v>
      </c>
    </row>
    <row r="31" spans="1:30" ht="14.4" customHeight="1" x14ac:dyDescent="0.35">
      <c r="A31" s="67" t="s">
        <v>34</v>
      </c>
      <c r="B31" s="69" t="s">
        <v>440</v>
      </c>
      <c r="C31" s="80">
        <f>C$22*(C6/C$20)</f>
        <v>0.16</v>
      </c>
      <c r="D31" s="80">
        <f t="shared" ref="D31:D42" si="4">D$22*(C6/C$20)</f>
        <v>0.17600000000000002</v>
      </c>
      <c r="E31" s="80">
        <f t="shared" ref="E31:E42" si="5">E$22*(C6/C$20)</f>
        <v>0.20800000000000002</v>
      </c>
      <c r="F31" s="80">
        <f t="shared" ref="F31:F42" si="6">F$22*(C6/C$20)</f>
        <v>0.22399999999999998</v>
      </c>
      <c r="G31" s="80">
        <f t="shared" ref="G31:G42" si="7">G$22*(C6/C$20)</f>
        <v>0.28800000000000003</v>
      </c>
    </row>
    <row r="32" spans="1:30" ht="16.2" x14ac:dyDescent="0.35">
      <c r="A32" s="67" t="s">
        <v>35</v>
      </c>
      <c r="B32" s="69" t="s">
        <v>439</v>
      </c>
      <c r="C32" s="80">
        <f>C$22*(C7/C$20)</f>
        <v>9.6</v>
      </c>
      <c r="D32" s="80">
        <f t="shared" si="4"/>
        <v>10.56</v>
      </c>
      <c r="E32" s="80">
        <f t="shared" si="5"/>
        <v>12.48</v>
      </c>
      <c r="F32" s="80">
        <f t="shared" si="6"/>
        <v>13.44</v>
      </c>
      <c r="G32" s="80">
        <f t="shared" si="7"/>
        <v>17.28</v>
      </c>
    </row>
    <row r="33" spans="1:7" ht="16.2" x14ac:dyDescent="0.35">
      <c r="A33" s="67" t="s">
        <v>36</v>
      </c>
      <c r="B33" s="69" t="s">
        <v>441</v>
      </c>
      <c r="C33" s="80">
        <f t="shared" ref="C33:C39" si="8">C$22*(C8/C$20)</f>
        <v>1.08</v>
      </c>
      <c r="D33" s="80">
        <f t="shared" si="4"/>
        <v>1.1880000000000002</v>
      </c>
      <c r="E33" s="80">
        <f t="shared" si="5"/>
        <v>1.4040000000000001</v>
      </c>
      <c r="F33" s="80">
        <f t="shared" si="6"/>
        <v>1.512</v>
      </c>
      <c r="G33" s="80">
        <f t="shared" si="7"/>
        <v>1.9440000000000002</v>
      </c>
    </row>
    <row r="34" spans="1:7" ht="16.2" x14ac:dyDescent="0.35">
      <c r="A34" s="67" t="s">
        <v>37</v>
      </c>
      <c r="B34" s="69" t="s">
        <v>446</v>
      </c>
      <c r="C34" s="80">
        <f t="shared" si="8"/>
        <v>1.08</v>
      </c>
      <c r="D34" s="80">
        <f t="shared" si="4"/>
        <v>1.1880000000000002</v>
      </c>
      <c r="E34" s="80">
        <f t="shared" si="5"/>
        <v>1.4040000000000001</v>
      </c>
      <c r="F34" s="80">
        <f t="shared" si="6"/>
        <v>1.512</v>
      </c>
      <c r="G34" s="80">
        <f t="shared" si="7"/>
        <v>1.9440000000000002</v>
      </c>
    </row>
    <row r="35" spans="1:7" ht="16.2" customHeight="1" x14ac:dyDescent="0.3">
      <c r="A35" s="70" t="s">
        <v>45</v>
      </c>
      <c r="B35" s="65"/>
      <c r="C35" s="80"/>
      <c r="D35" s="80"/>
      <c r="E35" s="80"/>
      <c r="F35" s="80"/>
      <c r="G35" s="80"/>
    </row>
    <row r="36" spans="1:7" ht="16.2" x14ac:dyDescent="0.35">
      <c r="A36" s="71" t="s">
        <v>90</v>
      </c>
      <c r="B36" s="69" t="s">
        <v>457</v>
      </c>
      <c r="C36" s="80">
        <f t="shared" si="8"/>
        <v>4.6399999999999997</v>
      </c>
      <c r="D36" s="80">
        <f t="shared" si="4"/>
        <v>5.1040000000000001</v>
      </c>
      <c r="E36" s="80">
        <f t="shared" si="5"/>
        <v>6.032</v>
      </c>
      <c r="F36" s="80">
        <f t="shared" si="6"/>
        <v>6.4959999999999996</v>
      </c>
      <c r="G36" s="80">
        <f t="shared" si="7"/>
        <v>8.3520000000000003</v>
      </c>
    </row>
    <row r="37" spans="1:7" ht="16.2" customHeight="1" x14ac:dyDescent="0.35">
      <c r="A37" s="71" t="s">
        <v>88</v>
      </c>
      <c r="B37" s="69" t="s">
        <v>459</v>
      </c>
      <c r="C37" s="80">
        <f t="shared" si="8"/>
        <v>3.7600000000000002</v>
      </c>
      <c r="D37" s="80">
        <f t="shared" si="4"/>
        <v>4.136000000000001</v>
      </c>
      <c r="E37" s="80">
        <f t="shared" si="5"/>
        <v>4.8880000000000008</v>
      </c>
      <c r="F37" s="80">
        <f t="shared" si="6"/>
        <v>5.2640000000000002</v>
      </c>
      <c r="G37" s="80">
        <f t="shared" si="7"/>
        <v>6.7680000000000007</v>
      </c>
    </row>
    <row r="38" spans="1:7" ht="16.2" customHeight="1" x14ac:dyDescent="0.35">
      <c r="A38" s="71" t="s">
        <v>89</v>
      </c>
      <c r="B38" s="69" t="s">
        <v>458</v>
      </c>
      <c r="C38" s="80">
        <f t="shared" si="8"/>
        <v>0.156</v>
      </c>
      <c r="D38" s="80">
        <f t="shared" si="4"/>
        <v>0.1716</v>
      </c>
      <c r="E38" s="80">
        <f t="shared" si="5"/>
        <v>0.20280000000000001</v>
      </c>
      <c r="F38" s="80">
        <f t="shared" si="6"/>
        <v>0.21839999999999998</v>
      </c>
      <c r="G38" s="80">
        <f t="shared" si="7"/>
        <v>0.28079999999999999</v>
      </c>
    </row>
    <row r="39" spans="1:7" ht="16.2" x14ac:dyDescent="0.35">
      <c r="A39" s="72" t="s">
        <v>49</v>
      </c>
      <c r="B39" s="69" t="s">
        <v>460</v>
      </c>
      <c r="C39" s="80">
        <f t="shared" si="8"/>
        <v>0.28799999999999998</v>
      </c>
      <c r="D39" s="80">
        <f t="shared" si="4"/>
        <v>0.31680000000000003</v>
      </c>
      <c r="E39" s="80">
        <f t="shared" si="5"/>
        <v>0.37440000000000001</v>
      </c>
      <c r="F39" s="80">
        <f t="shared" si="6"/>
        <v>0.40319999999999995</v>
      </c>
      <c r="G39" s="80">
        <f t="shared" si="7"/>
        <v>0.51839999999999997</v>
      </c>
    </row>
    <row r="40" spans="1:7" x14ac:dyDescent="0.3">
      <c r="A40" s="70" t="s">
        <v>54</v>
      </c>
      <c r="B40" s="65"/>
      <c r="C40" s="80"/>
      <c r="D40" s="80"/>
      <c r="E40" s="80"/>
      <c r="F40" s="80"/>
      <c r="G40" s="80"/>
    </row>
    <row r="41" spans="1:7" ht="16.2" x14ac:dyDescent="0.35">
      <c r="A41" s="73" t="s">
        <v>55</v>
      </c>
      <c r="B41" s="69" t="s">
        <v>461</v>
      </c>
      <c r="C41" s="80">
        <f>C$22*(C16/C$20)</f>
        <v>152</v>
      </c>
      <c r="D41" s="80">
        <f t="shared" si="4"/>
        <v>167.20000000000002</v>
      </c>
      <c r="E41" s="80">
        <f t="shared" si="5"/>
        <v>197.6</v>
      </c>
      <c r="F41" s="80">
        <f t="shared" si="6"/>
        <v>212.79999999999998</v>
      </c>
      <c r="G41" s="80">
        <f t="shared" si="7"/>
        <v>273.60000000000002</v>
      </c>
    </row>
    <row r="42" spans="1:7" ht="16.2" x14ac:dyDescent="0.35">
      <c r="A42" s="73" t="s">
        <v>56</v>
      </c>
      <c r="B42" s="69" t="s">
        <v>462</v>
      </c>
      <c r="C42" s="80">
        <f>C$22*(C17/C$20)</f>
        <v>0</v>
      </c>
      <c r="D42" s="80">
        <f t="shared" si="4"/>
        <v>0</v>
      </c>
      <c r="E42" s="80">
        <f t="shared" si="5"/>
        <v>0</v>
      </c>
      <c r="F42" s="80">
        <f t="shared" si="6"/>
        <v>0</v>
      </c>
      <c r="G42" s="80">
        <f t="shared" si="7"/>
        <v>0</v>
      </c>
    </row>
    <row r="43" spans="1:7" x14ac:dyDescent="0.3">
      <c r="C43" s="65"/>
      <c r="D43" s="65"/>
      <c r="E43" s="65"/>
      <c r="F43" s="65"/>
      <c r="G43" s="65"/>
    </row>
    <row r="44" spans="1:7" x14ac:dyDescent="0.3">
      <c r="C44" s="65"/>
      <c r="D44" s="65"/>
      <c r="E44" s="65"/>
      <c r="F44" s="65"/>
      <c r="G44" s="65"/>
    </row>
    <row r="45" spans="1:7" x14ac:dyDescent="0.3">
      <c r="C45" s="65"/>
      <c r="D45" s="65"/>
      <c r="E45" s="65"/>
      <c r="F45" s="65"/>
      <c r="G45" s="65"/>
    </row>
  </sheetData>
  <sheetProtection algorithmName="SHA-512" hashValue="0vWg2bKdI2GX51LezeW1WisfLl5Qzcf4R5WDHdoto/TE0YoMOuCZG/nwsI9uno2TWLKjf8QJDAY3lk9+Nk9LGA==" saltValue="0jGv2tAROv41/GaU57lZKw==" spinCount="100000" sheet="1" objects="1" scenarios="1"/>
  <mergeCells count="4">
    <mergeCell ref="J2:K2"/>
    <mergeCell ref="J10:K10"/>
    <mergeCell ref="L1:P1"/>
    <mergeCell ref="L9:P9"/>
  </mergeCells>
  <phoneticPr fontId="2" type="noConversion"/>
  <dataValidations disablePrompts="1" count="2">
    <dataValidation type="list" allowBlank="1" showInputMessage="1" showErrorMessage="1" sqref="T5" xr:uid="{5BE90222-1013-470D-8480-F33E5267B732}">
      <mc:AlternateContent xmlns:x12ac="http://schemas.microsoft.com/office/spreadsheetml/2011/1/ac" xmlns:mc="http://schemas.openxmlformats.org/markup-compatibility/2006">
        <mc:Choice Requires="x12ac">
          <x12ac:list>"0,7","0,5"</x12ac:list>
        </mc:Choice>
        <mc:Fallback>
          <formula1>"0,7,0,5"</formula1>
        </mc:Fallback>
      </mc:AlternateContent>
    </dataValidation>
    <dataValidation type="list" allowBlank="1" showInputMessage="1" showErrorMessage="1" sqref="T4" xr:uid="{AACB9444-F881-4D6C-94B3-E4395C129727}">
      <mc:AlternateContent xmlns:x12ac="http://schemas.microsoft.com/office/spreadsheetml/2011/1/ac" xmlns:mc="http://schemas.openxmlformats.org/markup-compatibility/2006">
        <mc:Choice Requires="x12ac">
          <x12ac:list>"0,7",0</x12ac:list>
        </mc:Choice>
        <mc:Fallback>
          <formula1>"0,7,0"</formula1>
        </mc:Fallback>
      </mc:AlternateContent>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27F71066-A599-4281-AD38-17755FE72002}">
          <x14:formula1>
            <xm:f>'Coeficientes y kmod'!$O$1:$AR$1</xm:f>
          </x14:formula1>
          <xm:sqref>C19</xm:sqref>
        </x14:dataValidation>
        <x14:dataValidation type="list" allowBlank="1" showInputMessage="1" showErrorMessage="1" xr:uid="{35281A25-1ECA-43F1-AC60-0703B51CE36D}">
          <x14:formula1>
            <xm:f>'Valores c. de la madera'!$Q$2:$CV$2</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D1F45-7F16-4557-9429-C3E2EF25EFCB}">
  <dimension ref="A1:BE329"/>
  <sheetViews>
    <sheetView zoomScale="70" zoomScaleNormal="70" workbookViewId="0">
      <selection activeCell="J24" sqref="J24"/>
    </sheetView>
  </sheetViews>
  <sheetFormatPr baseColWidth="10" defaultRowHeight="14.4" x14ac:dyDescent="0.3"/>
  <cols>
    <col min="1" max="1" width="16" style="47" customWidth="1"/>
    <col min="2" max="2" width="16.109375" style="47" customWidth="1"/>
    <col min="3" max="3" width="18.5546875" style="47" customWidth="1"/>
    <col min="4" max="4" width="35.5546875" style="47" customWidth="1"/>
    <col min="5" max="5" width="16" style="47" customWidth="1"/>
    <col min="6" max="6" width="25.6640625" style="47" customWidth="1"/>
    <col min="7" max="7" width="32.21875" style="47" customWidth="1"/>
    <col min="8" max="8" width="22.109375" style="47" customWidth="1"/>
    <col min="9" max="9" width="19.6640625" style="47" customWidth="1"/>
    <col min="10" max="10" width="35.77734375" style="47" customWidth="1"/>
    <col min="11" max="11" width="14.5546875" style="47" customWidth="1"/>
    <col min="12" max="12" width="14" style="47" customWidth="1"/>
    <col min="13" max="13" width="12.88671875" style="47" customWidth="1"/>
    <col min="14" max="14" width="13.6640625" style="47" customWidth="1"/>
    <col min="15" max="15" width="12.77734375" style="47" customWidth="1"/>
    <col min="16" max="16" width="13.21875" style="47" customWidth="1"/>
    <col min="17" max="17" width="13.109375" style="47" customWidth="1"/>
    <col min="18" max="18" width="25.44140625" style="47" customWidth="1"/>
    <col min="19" max="19" width="13.44140625" style="47" customWidth="1"/>
    <col min="20" max="20" width="16.109375" style="47" bestFit="1" customWidth="1"/>
    <col min="21" max="21" width="21.44140625" style="47" bestFit="1" customWidth="1"/>
    <col min="22" max="22" width="19.109375" style="47" bestFit="1" customWidth="1"/>
    <col min="23" max="23" width="23.88671875" style="47" bestFit="1" customWidth="1"/>
    <col min="24" max="25" width="12.33203125" style="47" bestFit="1" customWidth="1"/>
    <col min="26" max="26" width="17.5546875" style="47" bestFit="1" customWidth="1"/>
    <col min="27" max="28" width="12.33203125" style="47" bestFit="1" customWidth="1"/>
    <col min="29" max="30" width="12.77734375" style="47" bestFit="1" customWidth="1"/>
    <col min="31" max="31" width="16" style="47" customWidth="1"/>
    <col min="32" max="32" width="14.33203125" style="47" customWidth="1"/>
    <col min="33" max="33" width="27.44140625" style="47" bestFit="1" customWidth="1"/>
    <col min="34" max="34" width="24.44140625" style="47" bestFit="1" customWidth="1"/>
    <col min="35" max="35" width="27.44140625" style="47" bestFit="1" customWidth="1"/>
    <col min="36" max="36" width="11.5546875" style="47"/>
    <col min="37" max="37" width="24.44140625" style="47" customWidth="1"/>
    <col min="38" max="38" width="20.77734375" style="47" customWidth="1"/>
    <col min="39" max="39" width="20.33203125" style="47" customWidth="1"/>
    <col min="40" max="40" width="21.6640625" style="47" customWidth="1"/>
    <col min="41" max="41" width="19.6640625" style="47" bestFit="1" customWidth="1"/>
    <col min="42" max="42" width="21.6640625" style="47" customWidth="1"/>
    <col min="43" max="43" width="39.77734375" style="47" bestFit="1" customWidth="1"/>
    <col min="44" max="44" width="25.5546875" style="47" customWidth="1"/>
    <col min="45" max="45" width="38.88671875" style="47" bestFit="1" customWidth="1"/>
    <col min="46" max="46" width="39.109375" style="47" bestFit="1" customWidth="1"/>
    <col min="47" max="47" width="45.33203125" style="47" bestFit="1" customWidth="1"/>
    <col min="48" max="16384" width="11.5546875" style="47"/>
  </cols>
  <sheetData>
    <row r="1" spans="1:17" ht="15" thickBot="1" x14ac:dyDescent="0.35">
      <c r="A1" s="62"/>
      <c r="B1" s="62"/>
      <c r="C1" s="62"/>
      <c r="D1" s="62"/>
      <c r="E1" s="62"/>
      <c r="F1" s="62"/>
      <c r="G1" s="62"/>
      <c r="H1" s="109"/>
      <c r="I1" s="109"/>
      <c r="J1" s="109"/>
      <c r="K1" s="109"/>
      <c r="L1" s="109"/>
      <c r="M1" s="109"/>
      <c r="N1" s="109"/>
      <c r="O1" s="109"/>
    </row>
    <row r="2" spans="1:17" ht="77.400000000000006" customHeight="1" thickBot="1" x14ac:dyDescent="0.35">
      <c r="A2" s="236" t="s">
        <v>482</v>
      </c>
      <c r="B2" s="237"/>
      <c r="C2" s="240" t="s">
        <v>431</v>
      </c>
      <c r="D2" s="239"/>
      <c r="G2" s="77"/>
      <c r="H2" s="280"/>
      <c r="I2" s="238" t="s">
        <v>430</v>
      </c>
      <c r="J2" s="239"/>
      <c r="M2" s="109"/>
      <c r="N2" s="109"/>
      <c r="O2" s="109"/>
    </row>
    <row r="3" spans="1:17" ht="16.2" x14ac:dyDescent="0.35">
      <c r="A3" s="129" t="s">
        <v>240</v>
      </c>
      <c r="B3" s="130">
        <f>'Valores de cálculo'!C24</f>
        <v>0.7</v>
      </c>
      <c r="C3" s="135" t="s">
        <v>350</v>
      </c>
      <c r="D3" s="112">
        <v>1</v>
      </c>
      <c r="E3" s="78">
        <v>1</v>
      </c>
      <c r="H3" s="280"/>
      <c r="I3" s="135" t="s">
        <v>356</v>
      </c>
      <c r="J3" s="111">
        <v>2</v>
      </c>
      <c r="M3" s="109"/>
      <c r="N3" s="109"/>
      <c r="O3" s="109"/>
      <c r="P3" s="110"/>
      <c r="Q3" s="113"/>
    </row>
    <row r="4" spans="1:17" ht="16.2" x14ac:dyDescent="0.35">
      <c r="A4" s="131"/>
      <c r="B4" s="132"/>
      <c r="C4" s="135" t="s">
        <v>352</v>
      </c>
      <c r="D4" s="114">
        <v>150</v>
      </c>
      <c r="E4" s="78">
        <v>1.25</v>
      </c>
      <c r="H4" s="280"/>
      <c r="I4" s="135" t="s">
        <v>355</v>
      </c>
      <c r="J4" s="114">
        <v>600</v>
      </c>
      <c r="M4" s="109"/>
      <c r="N4" s="109"/>
      <c r="O4" s="109"/>
    </row>
    <row r="5" spans="1:17" ht="16.2" x14ac:dyDescent="0.35">
      <c r="A5" s="133" t="s">
        <v>242</v>
      </c>
      <c r="B5" s="134">
        <f>'Valores de cálculo'!G3*'Valores de cálculo'!C23</f>
        <v>134</v>
      </c>
      <c r="C5" s="135" t="s">
        <v>351</v>
      </c>
      <c r="D5" s="138">
        <f>'Valores de cálculo'!G3*D4</f>
        <v>30000</v>
      </c>
      <c r="E5" s="78">
        <v>1.5</v>
      </c>
      <c r="H5" s="280"/>
      <c r="I5" s="135" t="s">
        <v>353</v>
      </c>
      <c r="J5" s="137">
        <f>HLOOKUP('Valores de cálculo'!C2,'Valores c. de la madera'!Q2:CV30,29,)</f>
        <v>0.79244659623055669</v>
      </c>
      <c r="M5" s="109"/>
      <c r="N5" s="109"/>
      <c r="O5" s="109"/>
    </row>
    <row r="6" spans="1:17" x14ac:dyDescent="0.3">
      <c r="A6" s="131"/>
      <c r="B6" s="132"/>
      <c r="C6" s="77"/>
      <c r="D6" s="132"/>
      <c r="E6" s="78">
        <v>1.75</v>
      </c>
      <c r="H6" s="280"/>
      <c r="I6" s="139" t="s">
        <v>347</v>
      </c>
      <c r="J6" s="81">
        <f>'Valores de cálculo'!G4*'Valores de cálculo'!G3*'Valores de cálculo'!G4*(10^(-9))</f>
        <v>3.2000000000000001E-2</v>
      </c>
      <c r="M6" s="109"/>
      <c r="N6" s="109"/>
      <c r="O6" s="109"/>
    </row>
    <row r="7" spans="1:17" ht="16.8" customHeight="1" x14ac:dyDescent="0.35">
      <c r="A7" s="135" t="s">
        <v>346</v>
      </c>
      <c r="B7" s="136">
        <f>MIN(1,((0.01)/'Comprobación secciones'!$J$6)^(0.2))</f>
        <v>0.79244659623055669</v>
      </c>
      <c r="C7" s="77"/>
      <c r="D7" s="132"/>
      <c r="G7" s="77"/>
      <c r="H7" s="280"/>
      <c r="I7" s="77"/>
      <c r="J7" s="132"/>
      <c r="M7" s="109"/>
      <c r="N7" s="109"/>
      <c r="O7" s="109"/>
    </row>
    <row r="8" spans="1:17" x14ac:dyDescent="0.3">
      <c r="A8" s="77"/>
      <c r="B8" s="77"/>
      <c r="C8" s="77"/>
      <c r="D8" s="77"/>
      <c r="E8" s="77"/>
      <c r="F8" s="77"/>
      <c r="G8" s="77"/>
      <c r="H8" s="109"/>
      <c r="I8" s="109"/>
      <c r="J8" s="109"/>
      <c r="K8" s="109"/>
      <c r="L8" s="109"/>
      <c r="M8" s="109"/>
      <c r="N8" s="109"/>
      <c r="O8" s="109"/>
    </row>
    <row r="9" spans="1:17" ht="14.4" customHeight="1" x14ac:dyDescent="0.3">
      <c r="A9" s="62"/>
      <c r="B9" s="281" t="s">
        <v>484</v>
      </c>
      <c r="C9" s="282"/>
      <c r="D9" s="283"/>
      <c r="H9" s="109"/>
      <c r="I9" s="228" t="s">
        <v>483</v>
      </c>
      <c r="J9" s="228"/>
      <c r="K9" s="109"/>
      <c r="L9" s="109"/>
      <c r="M9" s="109"/>
      <c r="N9" s="109"/>
      <c r="O9" s="109"/>
    </row>
    <row r="10" spans="1:17" ht="14.4" customHeight="1" x14ac:dyDescent="0.3">
      <c r="A10" s="62"/>
      <c r="B10" s="284"/>
      <c r="C10" s="285"/>
      <c r="D10" s="286"/>
      <c r="H10" s="109"/>
      <c r="I10" s="228"/>
      <c r="J10" s="228"/>
      <c r="K10" s="109"/>
      <c r="L10" s="109"/>
      <c r="M10" s="109"/>
      <c r="N10" s="109"/>
      <c r="O10" s="109"/>
    </row>
    <row r="11" spans="1:17" x14ac:dyDescent="0.3">
      <c r="A11" s="62"/>
      <c r="B11" s="62"/>
      <c r="C11" s="62"/>
      <c r="D11" s="62"/>
      <c r="E11" s="62"/>
      <c r="F11" s="62"/>
      <c r="G11" s="62"/>
    </row>
    <row r="12" spans="1:17" ht="25.2" customHeight="1" x14ac:dyDescent="0.3">
      <c r="A12" s="62"/>
      <c r="B12" s="62"/>
      <c r="C12" s="62"/>
      <c r="D12" s="62"/>
      <c r="E12" s="62"/>
      <c r="F12" s="62"/>
      <c r="G12" s="62"/>
    </row>
    <row r="13" spans="1:17" x14ac:dyDescent="0.3">
      <c r="A13" s="62"/>
      <c r="B13" s="62"/>
      <c r="C13" s="62"/>
      <c r="D13" s="62"/>
      <c r="E13" s="62"/>
      <c r="F13" s="62"/>
      <c r="G13" s="62"/>
      <c r="I13" s="63"/>
    </row>
    <row r="14" spans="1:17" x14ac:dyDescent="0.3">
      <c r="A14" s="62"/>
      <c r="B14" s="62"/>
      <c r="C14" s="62"/>
      <c r="D14" s="62"/>
      <c r="E14" s="62"/>
      <c r="F14" s="62"/>
      <c r="G14" s="62"/>
    </row>
    <row r="15" spans="1:17" x14ac:dyDescent="0.3">
      <c r="A15" s="62"/>
      <c r="B15" s="62"/>
      <c r="C15" s="62"/>
      <c r="D15" s="62"/>
      <c r="E15" s="62"/>
      <c r="F15" s="62"/>
      <c r="G15" s="62"/>
    </row>
    <row r="16" spans="1:17" x14ac:dyDescent="0.3">
      <c r="A16" s="62"/>
      <c r="B16" s="62"/>
      <c r="C16" s="62"/>
      <c r="D16" s="62"/>
      <c r="E16" s="62"/>
      <c r="F16" s="62"/>
      <c r="G16" s="62"/>
    </row>
    <row r="17" spans="1:19" x14ac:dyDescent="0.3">
      <c r="A17" s="62"/>
      <c r="B17" s="62"/>
      <c r="C17" s="62"/>
      <c r="D17" s="62"/>
      <c r="E17" s="62"/>
      <c r="F17" s="62"/>
      <c r="G17" s="62"/>
      <c r="J17" s="116"/>
      <c r="K17" s="116"/>
      <c r="L17" s="116"/>
      <c r="M17" s="116"/>
      <c r="N17" s="116"/>
      <c r="O17" s="116"/>
      <c r="P17" s="116"/>
      <c r="Q17" s="116"/>
    </row>
    <row r="18" spans="1:19" x14ac:dyDescent="0.3">
      <c r="A18" s="62"/>
      <c r="B18" s="62"/>
      <c r="C18" s="62"/>
      <c r="D18" s="62"/>
      <c r="E18" s="62"/>
      <c r="F18" s="62"/>
      <c r="G18" s="62"/>
      <c r="J18" s="116"/>
      <c r="K18" s="247"/>
      <c r="L18" s="247"/>
      <c r="M18" s="247"/>
      <c r="N18" s="247"/>
      <c r="O18" s="247"/>
      <c r="P18" s="116"/>
      <c r="Q18" s="116"/>
    </row>
    <row r="19" spans="1:19" x14ac:dyDescent="0.3">
      <c r="A19" s="62"/>
      <c r="B19" s="62"/>
      <c r="C19" s="62"/>
      <c r="D19" s="62"/>
      <c r="E19" s="62"/>
      <c r="F19" s="62"/>
      <c r="G19" s="62"/>
      <c r="J19" s="116"/>
      <c r="K19" s="116"/>
      <c r="L19" s="116"/>
      <c r="M19" s="116"/>
      <c r="N19" s="116"/>
      <c r="O19" s="116"/>
      <c r="P19" s="116"/>
      <c r="Q19" s="116"/>
    </row>
    <row r="20" spans="1:19" x14ac:dyDescent="0.3">
      <c r="A20" s="62"/>
      <c r="B20" s="62"/>
      <c r="C20" s="62"/>
      <c r="D20" s="62"/>
      <c r="E20" s="62"/>
      <c r="F20" s="62"/>
      <c r="G20" s="62"/>
      <c r="J20" s="116"/>
      <c r="K20" s="246"/>
      <c r="L20" s="246"/>
      <c r="M20" s="246"/>
      <c r="N20" s="246"/>
      <c r="O20" s="246"/>
      <c r="P20" s="59"/>
      <c r="Q20" s="117"/>
    </row>
    <row r="21" spans="1:19" x14ac:dyDescent="0.3">
      <c r="A21" s="62"/>
      <c r="B21" s="62"/>
      <c r="C21" s="62"/>
      <c r="D21" s="62"/>
      <c r="E21" s="62"/>
      <c r="F21" s="62"/>
      <c r="G21" s="62"/>
      <c r="J21" s="116"/>
      <c r="K21" s="118"/>
      <c r="L21" s="116"/>
      <c r="M21" s="116"/>
      <c r="N21" s="116"/>
      <c r="O21" s="116"/>
      <c r="P21" s="116"/>
      <c r="Q21" s="116"/>
    </row>
    <row r="22" spans="1:19" x14ac:dyDescent="0.3">
      <c r="J22" s="116"/>
      <c r="K22" s="119"/>
      <c r="L22" s="119"/>
      <c r="M22" s="119"/>
      <c r="N22" s="119"/>
      <c r="O22" s="119"/>
      <c r="P22" s="59"/>
      <c r="Q22" s="116"/>
      <c r="R22" s="110"/>
    </row>
    <row r="23" spans="1:19" x14ac:dyDescent="0.3">
      <c r="A23" s="140" t="s">
        <v>334</v>
      </c>
      <c r="B23" s="225" t="s">
        <v>357</v>
      </c>
      <c r="C23" s="226"/>
      <c r="D23" s="226"/>
      <c r="E23" s="226"/>
      <c r="F23" s="227"/>
      <c r="G23" s="141" t="s">
        <v>358</v>
      </c>
      <c r="H23" s="65"/>
      <c r="J23" s="116"/>
      <c r="K23" s="120"/>
      <c r="L23" s="120"/>
      <c r="M23" s="120"/>
      <c r="N23" s="120"/>
      <c r="O23" s="120"/>
      <c r="P23" s="59"/>
      <c r="Q23" s="116"/>
      <c r="R23" s="110"/>
    </row>
    <row r="24" spans="1:19" ht="18" customHeight="1" x14ac:dyDescent="0.3">
      <c r="A24" s="142" t="s">
        <v>223</v>
      </c>
      <c r="B24" s="83" t="s">
        <v>342</v>
      </c>
      <c r="C24" s="84" t="s">
        <v>343</v>
      </c>
      <c r="D24" s="84" t="s">
        <v>231</v>
      </c>
      <c r="E24" s="84" t="s">
        <v>232</v>
      </c>
      <c r="F24" s="85" t="s">
        <v>333</v>
      </c>
      <c r="G24" s="143" t="s">
        <v>342</v>
      </c>
      <c r="H24" s="65"/>
      <c r="J24" s="116"/>
      <c r="K24" s="121"/>
      <c r="L24" s="121"/>
      <c r="M24" s="121"/>
      <c r="N24" s="121"/>
      <c r="O24" s="121"/>
      <c r="P24" s="59"/>
      <c r="Q24" s="116"/>
      <c r="R24" s="110"/>
    </row>
    <row r="25" spans="1:19" x14ac:dyDescent="0.3">
      <c r="A25" s="65"/>
      <c r="B25" s="88">
        <f>'Valores de cálculo'!L11</f>
        <v>149.99998500000001</v>
      </c>
      <c r="C25" s="88">
        <f>'Valores de cálculo'!M11</f>
        <v>0</v>
      </c>
      <c r="D25" s="144">
        <f>'Valores de cálculo'!N11</f>
        <v>0</v>
      </c>
      <c r="E25" s="144">
        <f>'Valores de cálculo'!O11</f>
        <v>0</v>
      </c>
      <c r="F25" s="88">
        <f>'Valores de cálculo'!P11</f>
        <v>0</v>
      </c>
      <c r="G25" s="88">
        <f>'Valores de cálculo'!Q11</f>
        <v>0</v>
      </c>
      <c r="H25" s="65"/>
      <c r="J25" s="116"/>
      <c r="K25" s="246"/>
      <c r="L25" s="246"/>
      <c r="M25" s="246"/>
      <c r="N25" s="246"/>
      <c r="O25" s="246"/>
      <c r="P25" s="59"/>
      <c r="Q25" s="117"/>
    </row>
    <row r="26" spans="1:19" x14ac:dyDescent="0.3">
      <c r="A26" s="65"/>
      <c r="B26" s="65"/>
      <c r="C26" s="65"/>
      <c r="D26" s="65"/>
      <c r="E26" s="65"/>
      <c r="F26" s="65"/>
      <c r="G26" s="65"/>
      <c r="H26" s="65"/>
      <c r="J26" s="116"/>
      <c r="K26" s="118"/>
      <c r="L26" s="116"/>
      <c r="M26" s="116"/>
      <c r="N26" s="116"/>
      <c r="O26" s="116"/>
      <c r="P26" s="59"/>
      <c r="Q26" s="122"/>
    </row>
    <row r="27" spans="1:19" ht="14.4" customHeight="1" x14ac:dyDescent="0.3">
      <c r="A27" s="65"/>
      <c r="B27" s="226" t="s">
        <v>429</v>
      </c>
      <c r="C27" s="226"/>
      <c r="D27" s="65"/>
      <c r="E27" s="226" t="s">
        <v>432</v>
      </c>
      <c r="F27" s="226"/>
      <c r="G27" s="226"/>
      <c r="H27" s="65"/>
      <c r="J27" s="116"/>
      <c r="K27" s="119"/>
      <c r="L27" s="119"/>
      <c r="M27" s="119"/>
      <c r="N27" s="119"/>
      <c r="O27" s="119"/>
      <c r="P27" s="116"/>
      <c r="Q27" s="116"/>
    </row>
    <row r="28" spans="1:19" ht="16.2" x14ac:dyDescent="0.35">
      <c r="A28" s="65"/>
      <c r="B28" s="145" t="s">
        <v>344</v>
      </c>
      <c r="C28" s="146">
        <f>'Valores de cálculo'!M11/('Valores de cálculo'!$G$3*'Valores de cálculo'!$G$4)*10^3</f>
        <v>0</v>
      </c>
      <c r="D28" s="65"/>
      <c r="E28" s="76" t="s">
        <v>435</v>
      </c>
      <c r="F28" s="145" t="s">
        <v>438</v>
      </c>
      <c r="G28" s="147">
        <f>'Valores de cálculo'!C30</f>
        <v>6.8731063103499093</v>
      </c>
      <c r="H28" s="65"/>
      <c r="J28" s="116"/>
      <c r="K28" s="120"/>
      <c r="L28" s="120"/>
      <c r="M28" s="120"/>
      <c r="N28" s="120"/>
      <c r="O28" s="120"/>
      <c r="P28" s="116"/>
      <c r="Q28" s="116"/>
      <c r="R28" s="110"/>
      <c r="S28" s="123"/>
    </row>
    <row r="29" spans="1:19" ht="16.2" x14ac:dyDescent="0.35">
      <c r="A29" s="65"/>
      <c r="B29" s="145" t="s">
        <v>238</v>
      </c>
      <c r="C29" s="146">
        <f>'Valores de cálculo'!L11/('Valores de cálculo'!$G$3*'Valores de cálculo'!$G$4)*10^3</f>
        <v>1.8749998125</v>
      </c>
      <c r="D29" s="65"/>
      <c r="E29" s="76" t="s">
        <v>436</v>
      </c>
      <c r="F29" s="145" t="s">
        <v>439</v>
      </c>
      <c r="G29" s="147">
        <f>'Valores de cálculo'!C32</f>
        <v>9.6</v>
      </c>
      <c r="H29" s="65"/>
      <c r="J29" s="116"/>
      <c r="K29" s="121"/>
      <c r="L29" s="121"/>
      <c r="M29" s="121"/>
      <c r="N29" s="121"/>
      <c r="O29" s="121"/>
      <c r="P29" s="116"/>
      <c r="Q29" s="116"/>
    </row>
    <row r="30" spans="1:19" ht="16.2" x14ac:dyDescent="0.35">
      <c r="A30" s="65"/>
      <c r="B30" s="145" t="s">
        <v>237</v>
      </c>
      <c r="C30" s="146">
        <f>'Valores de cálculo'!N11/('Valores de cálculo'!$G$3*('Valores de cálculo'!$G$4^2)/6)*10^6</f>
        <v>0</v>
      </c>
      <c r="D30" s="65"/>
      <c r="E30" s="241" t="s">
        <v>32</v>
      </c>
      <c r="F30" s="242" t="s">
        <v>437</v>
      </c>
      <c r="G30" s="244">
        <f>'Valores de cálculo'!C29</f>
        <v>9.9972455423271409</v>
      </c>
      <c r="H30" s="65"/>
      <c r="J30" s="116"/>
      <c r="K30" s="246"/>
      <c r="L30" s="246"/>
      <c r="M30" s="246"/>
      <c r="N30" s="246"/>
      <c r="O30" s="246"/>
      <c r="P30" s="116"/>
      <c r="Q30" s="116"/>
    </row>
    <row r="31" spans="1:19" ht="16.2" x14ac:dyDescent="0.35">
      <c r="A31" s="65"/>
      <c r="B31" s="145" t="s">
        <v>236</v>
      </c>
      <c r="C31" s="146">
        <f>'Valores de cálculo'!N11/('Valores de cálculo'!$G$3*('Valores de cálculo'!$G$4^2)/6)*10^6</f>
        <v>0</v>
      </c>
      <c r="D31" s="65"/>
      <c r="E31" s="241"/>
      <c r="F31" s="242"/>
      <c r="G31" s="244"/>
      <c r="H31" s="65"/>
      <c r="J31" s="116"/>
      <c r="K31" s="118"/>
      <c r="L31" s="116"/>
      <c r="M31" s="116"/>
      <c r="N31" s="116"/>
      <c r="O31" s="116"/>
      <c r="P31" s="116"/>
      <c r="Q31" s="116"/>
    </row>
    <row r="32" spans="1:19" ht="16.2" x14ac:dyDescent="0.35">
      <c r="A32" s="65"/>
      <c r="B32" s="145" t="s">
        <v>239</v>
      </c>
      <c r="C32" s="146">
        <f>'Valores de cálculo'!O11/(('Valores de cálculo'!$G$4*('Valores de cálculo'!$G$3^2))/6)*(10^6)</f>
        <v>0</v>
      </c>
      <c r="D32" s="65"/>
      <c r="E32" s="241"/>
      <c r="F32" s="242"/>
      <c r="G32" s="244"/>
      <c r="H32" s="65"/>
      <c r="J32" s="116"/>
      <c r="K32" s="120"/>
      <c r="L32" s="120"/>
      <c r="M32" s="120"/>
      <c r="N32" s="120"/>
      <c r="O32" s="120"/>
      <c r="P32" s="116"/>
      <c r="Q32" s="116"/>
    </row>
    <row r="33" spans="1:17" x14ac:dyDescent="0.3">
      <c r="A33" s="65"/>
      <c r="B33" s="76"/>
      <c r="C33" s="65"/>
      <c r="D33" s="65"/>
      <c r="E33" s="76"/>
      <c r="F33" s="145"/>
      <c r="G33" s="65"/>
      <c r="H33" s="65"/>
      <c r="J33" s="116"/>
      <c r="K33" s="121"/>
      <c r="L33" s="121"/>
      <c r="M33" s="121"/>
      <c r="N33" s="121"/>
      <c r="O33" s="121"/>
      <c r="P33" s="116"/>
      <c r="Q33" s="116"/>
    </row>
    <row r="34" spans="1:17" ht="16.2" x14ac:dyDescent="0.35">
      <c r="A34" s="65"/>
      <c r="B34" s="145" t="s">
        <v>243</v>
      </c>
      <c r="C34" s="146">
        <f>1.5*('Valores de cálculo'!P11/($B$5*'Valores de cálculo'!$G$4))*(10^3)</f>
        <v>0</v>
      </c>
      <c r="D34" s="65"/>
      <c r="E34" s="76" t="s">
        <v>433</v>
      </c>
      <c r="F34" s="145" t="s">
        <v>446</v>
      </c>
      <c r="G34" s="147">
        <f>'Valores de cálculo'!C34</f>
        <v>1.08</v>
      </c>
      <c r="H34" s="65"/>
    </row>
    <row r="35" spans="1:17" x14ac:dyDescent="0.3">
      <c r="A35" s="65"/>
      <c r="B35" s="76"/>
      <c r="C35" s="65"/>
      <c r="D35" s="65"/>
      <c r="E35" s="76"/>
      <c r="F35" s="145"/>
      <c r="G35" s="65"/>
      <c r="H35" s="65"/>
    </row>
    <row r="36" spans="1:17" ht="16.2" x14ac:dyDescent="0.35">
      <c r="A36" s="65"/>
      <c r="B36" s="145" t="s">
        <v>345</v>
      </c>
      <c r="C36" s="146">
        <f>1.5*($J$3*(10^6))/('Valores de cálculo'!$G$3*'Valores de cálculo'!$G$4*$J$4)</f>
        <v>6.25E-2</v>
      </c>
      <c r="D36" s="65"/>
      <c r="E36" s="76" t="s">
        <v>434</v>
      </c>
      <c r="F36" s="145" t="s">
        <v>440</v>
      </c>
      <c r="G36" s="147">
        <f>'Valores de cálculo'!C31*'Comprobación secciones'!$J$5</f>
        <v>0.12679145539688907</v>
      </c>
      <c r="H36" s="65"/>
    </row>
    <row r="37" spans="1:17" ht="16.2" x14ac:dyDescent="0.35">
      <c r="A37" s="65"/>
      <c r="B37" s="145" t="s">
        <v>349</v>
      </c>
      <c r="C37" s="146">
        <f>('Valores de cálculo'!Q11*1000)/$D$5</f>
        <v>0</v>
      </c>
      <c r="D37" s="65"/>
      <c r="E37" s="76" t="s">
        <v>445</v>
      </c>
      <c r="F37" s="145" t="s">
        <v>441</v>
      </c>
      <c r="G37" s="147">
        <f>$D$3*'Valores de cálculo'!C33</f>
        <v>1.08</v>
      </c>
      <c r="H37" s="65"/>
    </row>
    <row r="38" spans="1:17" x14ac:dyDescent="0.3">
      <c r="A38" s="65"/>
      <c r="B38" s="65"/>
      <c r="C38" s="65"/>
      <c r="D38" s="65"/>
      <c r="E38" s="65"/>
      <c r="F38" s="65"/>
      <c r="G38" s="65"/>
      <c r="H38" s="65"/>
    </row>
    <row r="39" spans="1:17" x14ac:dyDescent="0.3">
      <c r="A39" s="65"/>
      <c r="B39" s="226" t="s">
        <v>442</v>
      </c>
      <c r="C39" s="226"/>
      <c r="D39" s="226"/>
      <c r="E39" s="233" t="s">
        <v>454</v>
      </c>
      <c r="F39" s="233"/>
      <c r="G39" s="233"/>
      <c r="H39" s="65"/>
    </row>
    <row r="40" spans="1:17" x14ac:dyDescent="0.3">
      <c r="A40" s="65"/>
      <c r="B40" s="76" t="s">
        <v>435</v>
      </c>
      <c r="C40" s="136">
        <f>C28/G28</f>
        <v>0</v>
      </c>
      <c r="D40" s="148" t="str">
        <f>IF(C40&lt;1,"CUMPLE","NO CUMPLE")</f>
        <v>CUMPLE</v>
      </c>
      <c r="E40" s="235" t="s">
        <v>481</v>
      </c>
      <c r="F40" s="235"/>
      <c r="G40" s="248">
        <f>SUM(C40:C43)</f>
        <v>0.19531248046875002</v>
      </c>
      <c r="H40" s="230" t="str">
        <f>IF(G40&lt;1,"CUMPLE","NO CUMPLE")</f>
        <v>CUMPLE</v>
      </c>
    </row>
    <row r="41" spans="1:17" x14ac:dyDescent="0.3">
      <c r="A41" s="65"/>
      <c r="B41" s="76" t="s">
        <v>436</v>
      </c>
      <c r="C41" s="136">
        <f>C29/G29</f>
        <v>0.19531248046875002</v>
      </c>
      <c r="D41" s="148" t="str">
        <f t="shared" ref="D41:D48" si="0">IF(C41&lt;1,"CUMPLE","NO CUMPLE")</f>
        <v>CUMPLE</v>
      </c>
      <c r="E41" s="235"/>
      <c r="F41" s="235"/>
      <c r="G41" s="249"/>
      <c r="H41" s="230"/>
    </row>
    <row r="42" spans="1:17" x14ac:dyDescent="0.3">
      <c r="A42" s="65"/>
      <c r="B42" s="76" t="s">
        <v>443</v>
      </c>
      <c r="C42" s="136">
        <f>C30/G30</f>
        <v>0</v>
      </c>
      <c r="D42" s="148" t="str">
        <f t="shared" si="0"/>
        <v>CUMPLE</v>
      </c>
      <c r="E42" s="235"/>
      <c r="F42" s="235"/>
      <c r="G42" s="249"/>
      <c r="H42" s="230"/>
    </row>
    <row r="43" spans="1:17" x14ac:dyDescent="0.3">
      <c r="A43" s="65"/>
      <c r="B43" s="76" t="s">
        <v>444</v>
      </c>
      <c r="C43" s="136">
        <f>C32/G30</f>
        <v>0</v>
      </c>
      <c r="D43" s="148" t="str">
        <f t="shared" si="0"/>
        <v>CUMPLE</v>
      </c>
      <c r="E43" s="235"/>
      <c r="F43" s="235"/>
      <c r="G43" s="249"/>
      <c r="H43" s="230"/>
    </row>
    <row r="44" spans="1:17" x14ac:dyDescent="0.3">
      <c r="A44" s="65"/>
      <c r="B44" s="76"/>
      <c r="C44" s="65"/>
      <c r="D44" s="148"/>
      <c r="E44" s="76"/>
      <c r="F44" s="76"/>
      <c r="G44" s="149"/>
      <c r="H44" s="150"/>
    </row>
    <row r="45" spans="1:17" x14ac:dyDescent="0.3">
      <c r="A45" s="65"/>
      <c r="B45" s="76" t="s">
        <v>433</v>
      </c>
      <c r="C45" s="136">
        <f>C34/G34</f>
        <v>0</v>
      </c>
      <c r="D45" s="148" t="str">
        <f t="shared" si="0"/>
        <v>CUMPLE</v>
      </c>
      <c r="E45" s="243" t="s">
        <v>455</v>
      </c>
      <c r="F45" s="243"/>
      <c r="G45" s="151">
        <f>C45</f>
        <v>0</v>
      </c>
      <c r="H45" s="152" t="str">
        <f>IF(G45&lt;1,"CUMPLE","NO CUMPLE")</f>
        <v>CUMPLE</v>
      </c>
    </row>
    <row r="46" spans="1:17" x14ac:dyDescent="0.3">
      <c r="A46" s="65"/>
      <c r="B46" s="76"/>
      <c r="C46" s="65"/>
      <c r="D46" s="148"/>
      <c r="E46" s="76"/>
      <c r="F46" s="76"/>
      <c r="G46" s="149"/>
      <c r="H46" s="150"/>
    </row>
    <row r="47" spans="1:17" x14ac:dyDescent="0.3">
      <c r="A47" s="65"/>
      <c r="B47" s="76" t="s">
        <v>434</v>
      </c>
      <c r="C47" s="136">
        <f>C36/(1.4*G36)</f>
        <v>0.35209673241082212</v>
      </c>
      <c r="D47" s="148" t="str">
        <f t="shared" si="0"/>
        <v>CUMPLE</v>
      </c>
      <c r="E47" s="235" t="s">
        <v>456</v>
      </c>
      <c r="F47" s="235"/>
      <c r="G47" s="229">
        <f>SUM(C47:C48)</f>
        <v>0.35209673241082212</v>
      </c>
      <c r="H47" s="230" t="str">
        <f>IF(G47&lt;1,"CUMPLE","NO CUMPLE")</f>
        <v>CUMPLE</v>
      </c>
    </row>
    <row r="48" spans="1:17" x14ac:dyDescent="0.3">
      <c r="A48" s="65"/>
      <c r="B48" s="76" t="s">
        <v>445</v>
      </c>
      <c r="C48" s="136">
        <f>C37/G37</f>
        <v>0</v>
      </c>
      <c r="D48" s="148" t="str">
        <f t="shared" si="0"/>
        <v>CUMPLE</v>
      </c>
      <c r="E48" s="235"/>
      <c r="F48" s="235"/>
      <c r="G48" s="250"/>
      <c r="H48" s="230"/>
    </row>
    <row r="49" spans="1:8" x14ac:dyDescent="0.3">
      <c r="A49" s="65"/>
      <c r="B49" s="65"/>
      <c r="C49" s="65"/>
      <c r="D49" s="65"/>
      <c r="E49" s="65"/>
      <c r="F49" s="65"/>
      <c r="G49" s="65"/>
      <c r="H49" s="65"/>
    </row>
    <row r="50" spans="1:8" x14ac:dyDescent="0.3">
      <c r="A50" s="65"/>
      <c r="B50" s="226" t="s">
        <v>447</v>
      </c>
      <c r="C50" s="226"/>
      <c r="D50" s="226"/>
      <c r="E50" s="226"/>
      <c r="F50" s="226"/>
      <c r="G50" s="226"/>
      <c r="H50" s="226"/>
    </row>
    <row r="51" spans="1:8" x14ac:dyDescent="0.3">
      <c r="A51" s="65"/>
      <c r="B51" s="232" t="s">
        <v>448</v>
      </c>
      <c r="C51" s="232"/>
      <c r="D51" s="232" t="s">
        <v>450</v>
      </c>
      <c r="E51" s="232"/>
      <c r="F51" s="232" t="s">
        <v>449</v>
      </c>
      <c r="G51" s="232"/>
      <c r="H51" s="232" t="s">
        <v>453</v>
      </c>
    </row>
    <row r="52" spans="1:8" x14ac:dyDescent="0.3">
      <c r="A52" s="65"/>
      <c r="B52" s="84" t="s">
        <v>451</v>
      </c>
      <c r="C52" s="84" t="s">
        <v>452</v>
      </c>
      <c r="D52" s="84" t="s">
        <v>451</v>
      </c>
      <c r="E52" s="84" t="s">
        <v>452</v>
      </c>
      <c r="F52" s="84" t="s">
        <v>451</v>
      </c>
      <c r="G52" s="84" t="s">
        <v>452</v>
      </c>
      <c r="H52" s="232"/>
    </row>
    <row r="53" spans="1:8" x14ac:dyDescent="0.3">
      <c r="A53" s="65"/>
      <c r="B53" s="136">
        <f>C42+$B$3*C43</f>
        <v>0</v>
      </c>
      <c r="C53" s="136">
        <f>$B$3*C42+C43</f>
        <v>0</v>
      </c>
      <c r="D53" s="136">
        <f>C40+B53</f>
        <v>0</v>
      </c>
      <c r="E53" s="136">
        <f>C40+C53</f>
        <v>0</v>
      </c>
      <c r="F53" s="136">
        <f>(C41^2)+B53</f>
        <v>3.8146965026855856E-2</v>
      </c>
      <c r="G53" s="136">
        <f>(C41^2)+C53</f>
        <v>3.8146965026855856E-2</v>
      </c>
      <c r="H53" s="136">
        <f>C45+(C36/($B$7*G36))</f>
        <v>0.62204245398983948</v>
      </c>
    </row>
    <row r="54" spans="1:8" x14ac:dyDescent="0.3">
      <c r="A54" s="65"/>
      <c r="B54" s="65"/>
      <c r="C54" s="65"/>
      <c r="D54" s="65"/>
      <c r="E54" s="65"/>
      <c r="F54" s="65"/>
      <c r="G54" s="65"/>
      <c r="H54" s="65"/>
    </row>
    <row r="55" spans="1:8" x14ac:dyDescent="0.3">
      <c r="A55" s="65"/>
      <c r="B55" s="65"/>
      <c r="C55" s="65"/>
      <c r="D55" s="65"/>
      <c r="E55" s="65"/>
      <c r="F55" s="65"/>
      <c r="G55" s="65"/>
      <c r="H55" s="65"/>
    </row>
    <row r="56" spans="1:8" x14ac:dyDescent="0.3">
      <c r="A56" s="65"/>
      <c r="B56" s="65"/>
      <c r="C56" s="65"/>
      <c r="D56" s="65"/>
      <c r="E56" s="65"/>
      <c r="F56" s="65"/>
      <c r="G56" s="65"/>
      <c r="H56" s="65"/>
    </row>
    <row r="57" spans="1:8" x14ac:dyDescent="0.3">
      <c r="A57" s="65"/>
      <c r="B57" s="65"/>
      <c r="C57" s="65"/>
      <c r="D57" s="65"/>
      <c r="E57" s="65"/>
      <c r="F57" s="65"/>
      <c r="G57" s="65"/>
      <c r="H57" s="65"/>
    </row>
    <row r="58" spans="1:8" x14ac:dyDescent="0.3">
      <c r="A58" s="140" t="s">
        <v>335</v>
      </c>
      <c r="B58" s="225" t="s">
        <v>357</v>
      </c>
      <c r="C58" s="226"/>
      <c r="D58" s="226"/>
      <c r="E58" s="226"/>
      <c r="F58" s="227"/>
      <c r="G58" s="141" t="s">
        <v>358</v>
      </c>
      <c r="H58" s="65"/>
    </row>
    <row r="59" spans="1:8" x14ac:dyDescent="0.3">
      <c r="A59" s="142" t="s">
        <v>225</v>
      </c>
      <c r="B59" s="83" t="s">
        <v>342</v>
      </c>
      <c r="C59" s="84" t="s">
        <v>343</v>
      </c>
      <c r="D59" s="84" t="s">
        <v>231</v>
      </c>
      <c r="E59" s="84" t="s">
        <v>232</v>
      </c>
      <c r="F59" s="85" t="s">
        <v>333</v>
      </c>
      <c r="G59" s="143" t="s">
        <v>342</v>
      </c>
      <c r="H59" s="65"/>
    </row>
    <row r="60" spans="1:8" x14ac:dyDescent="0.3">
      <c r="A60" s="65"/>
      <c r="B60" s="88">
        <f>'Valores de cálculo'!L12</f>
        <v>249.99998475000001</v>
      </c>
      <c r="C60" s="88">
        <f>'Valores de cálculo'!M12</f>
        <v>0</v>
      </c>
      <c r="D60" s="144">
        <f>'Valores de cálculo'!N12</f>
        <v>0</v>
      </c>
      <c r="E60" s="144">
        <f>'Valores de cálculo'!O12</f>
        <v>0</v>
      </c>
      <c r="F60" s="88">
        <f>'Valores de cálculo'!P12</f>
        <v>0</v>
      </c>
      <c r="G60" s="88">
        <f>'Valores de cálculo'!Q12</f>
        <v>0</v>
      </c>
      <c r="H60" s="65"/>
    </row>
    <row r="61" spans="1:8" x14ac:dyDescent="0.3">
      <c r="A61" s="65"/>
      <c r="B61" s="65"/>
      <c r="C61" s="65"/>
      <c r="D61" s="65"/>
      <c r="E61" s="65"/>
      <c r="F61" s="65"/>
      <c r="G61" s="65"/>
      <c r="H61" s="65"/>
    </row>
    <row r="62" spans="1:8" x14ac:dyDescent="0.3">
      <c r="A62" s="65"/>
      <c r="B62" s="226" t="s">
        <v>429</v>
      </c>
      <c r="C62" s="226"/>
      <c r="D62" s="65"/>
      <c r="E62" s="226" t="s">
        <v>432</v>
      </c>
      <c r="F62" s="226"/>
      <c r="G62" s="226"/>
      <c r="H62" s="65"/>
    </row>
    <row r="63" spans="1:8" ht="16.2" x14ac:dyDescent="0.35">
      <c r="A63" s="65"/>
      <c r="B63" s="145" t="s">
        <v>344</v>
      </c>
      <c r="C63" s="146">
        <f>'Valores de cálculo'!M12/('Valores de cálculo'!$G$3*'Valores de cálculo'!$G$4)*10^3</f>
        <v>0</v>
      </c>
      <c r="D63" s="65"/>
      <c r="E63" s="76" t="s">
        <v>435</v>
      </c>
      <c r="F63" s="145" t="s">
        <v>438</v>
      </c>
      <c r="G63" s="147">
        <f>'Valores de cálculo'!$E$30</f>
        <v>8.9350382034548819</v>
      </c>
      <c r="H63" s="65"/>
    </row>
    <row r="64" spans="1:8" ht="16.2" x14ac:dyDescent="0.35">
      <c r="A64" s="65"/>
      <c r="B64" s="145" t="s">
        <v>238</v>
      </c>
      <c r="C64" s="146">
        <f>'Valores de cálculo'!L12/('Valores de cálculo'!$G$3*'Valores de cálculo'!$G$4)*10^3</f>
        <v>3.1249998093750002</v>
      </c>
      <c r="D64" s="65"/>
      <c r="E64" s="76" t="s">
        <v>436</v>
      </c>
      <c r="F64" s="145" t="s">
        <v>439</v>
      </c>
      <c r="G64" s="147">
        <f>'Valores de cálculo'!$E$32</f>
        <v>12.48</v>
      </c>
      <c r="H64" s="65"/>
    </row>
    <row r="65" spans="1:12" ht="16.2" x14ac:dyDescent="0.35">
      <c r="A65" s="65"/>
      <c r="B65" s="145" t="s">
        <v>237</v>
      </c>
      <c r="C65" s="146">
        <f>'Valores de cálculo'!N12/('Valores de cálculo'!$G$3*('Valores de cálculo'!$G$4^2)/6)*10^6</f>
        <v>0</v>
      </c>
      <c r="D65" s="65"/>
      <c r="E65" s="241" t="s">
        <v>32</v>
      </c>
      <c r="F65" s="242" t="s">
        <v>437</v>
      </c>
      <c r="G65" s="65"/>
      <c r="H65" s="65"/>
    </row>
    <row r="66" spans="1:12" ht="16.2" x14ac:dyDescent="0.35">
      <c r="A66" s="65"/>
      <c r="B66" s="145" t="s">
        <v>236</v>
      </c>
      <c r="C66" s="146">
        <f>'Valores de cálculo'!N12/('Valores de cálculo'!$G$3*('Valores de cálculo'!$G$4^2)/6)*10^6</f>
        <v>0</v>
      </c>
      <c r="D66" s="65"/>
      <c r="E66" s="241"/>
      <c r="F66" s="242"/>
      <c r="G66" s="153">
        <f>'Valores de cálculo'!$E$29</f>
        <v>12.996419205025283</v>
      </c>
      <c r="H66" s="65"/>
    </row>
    <row r="67" spans="1:12" ht="16.2" x14ac:dyDescent="0.35">
      <c r="A67" s="65"/>
      <c r="B67" s="145" t="s">
        <v>239</v>
      </c>
      <c r="C67" s="146">
        <f>'Valores de cálculo'!O12/(('Valores de cálculo'!$G$4*('Valores de cálculo'!$G$3^2))/6)*(10^6)</f>
        <v>0</v>
      </c>
      <c r="D67" s="65"/>
      <c r="E67" s="241"/>
      <c r="F67" s="242"/>
      <c r="G67" s="153"/>
      <c r="H67" s="65"/>
    </row>
    <row r="68" spans="1:12" x14ac:dyDescent="0.3">
      <c r="A68" s="65"/>
      <c r="B68" s="76"/>
      <c r="C68" s="65"/>
      <c r="D68" s="65"/>
      <c r="E68" s="76"/>
      <c r="F68" s="145"/>
      <c r="G68" s="65"/>
      <c r="H68" s="65"/>
    </row>
    <row r="69" spans="1:12" ht="16.2" x14ac:dyDescent="0.35">
      <c r="A69" s="65"/>
      <c r="B69" s="145" t="s">
        <v>243</v>
      </c>
      <c r="C69" s="146">
        <f>1.5*('Valores de cálculo'!P12/($B$5*'Valores de cálculo'!$G$4))*(10^3)</f>
        <v>0</v>
      </c>
      <c r="D69" s="65"/>
      <c r="E69" s="76" t="s">
        <v>433</v>
      </c>
      <c r="F69" s="145" t="s">
        <v>446</v>
      </c>
      <c r="G69" s="147">
        <f>'Valores de cálculo'!$E$34</f>
        <v>1.4040000000000001</v>
      </c>
      <c r="H69" s="65"/>
      <c r="J69" s="115"/>
      <c r="L69" s="115"/>
    </row>
    <row r="70" spans="1:12" x14ac:dyDescent="0.3">
      <c r="A70" s="65"/>
      <c r="B70" s="76"/>
      <c r="C70" s="65"/>
      <c r="D70" s="65"/>
      <c r="E70" s="76"/>
      <c r="F70" s="145"/>
      <c r="G70" s="65"/>
      <c r="H70" s="65"/>
    </row>
    <row r="71" spans="1:12" ht="16.2" x14ac:dyDescent="0.35">
      <c r="A71" s="65"/>
      <c r="B71" s="145" t="s">
        <v>345</v>
      </c>
      <c r="C71" s="146">
        <f>1.5*($J$3*(10^6))/('Valores de cálculo'!$G$3*'Valores de cálculo'!$G$4*$J$4)</f>
        <v>6.25E-2</v>
      </c>
      <c r="D71" s="65"/>
      <c r="E71" s="76" t="s">
        <v>434</v>
      </c>
      <c r="F71" s="145" t="s">
        <v>440</v>
      </c>
      <c r="G71" s="147">
        <f>'Valores de cálculo'!$E$31</f>
        <v>0.20800000000000002</v>
      </c>
      <c r="H71" s="65"/>
    </row>
    <row r="72" spans="1:12" ht="16.2" x14ac:dyDescent="0.35">
      <c r="A72" s="65"/>
      <c r="B72" s="145" t="s">
        <v>349</v>
      </c>
      <c r="C72" s="146">
        <f>('Valores de cálculo'!Q12*1000)/$D$5</f>
        <v>0</v>
      </c>
      <c r="D72" s="65"/>
      <c r="E72" s="76" t="s">
        <v>445</v>
      </c>
      <c r="F72" s="145" t="s">
        <v>441</v>
      </c>
      <c r="G72" s="147">
        <f>'Valores de cálculo'!$E$33</f>
        <v>1.4040000000000001</v>
      </c>
      <c r="H72" s="65"/>
    </row>
    <row r="73" spans="1:12" x14ac:dyDescent="0.3">
      <c r="A73" s="65"/>
      <c r="B73" s="65"/>
      <c r="C73" s="65"/>
      <c r="D73" s="65"/>
      <c r="E73" s="65"/>
      <c r="F73" s="65"/>
      <c r="G73" s="65"/>
      <c r="H73" s="65"/>
    </row>
    <row r="74" spans="1:12" x14ac:dyDescent="0.3">
      <c r="A74" s="65"/>
      <c r="B74" s="226" t="s">
        <v>442</v>
      </c>
      <c r="C74" s="226"/>
      <c r="D74" s="226"/>
      <c r="E74" s="233" t="s">
        <v>454</v>
      </c>
      <c r="F74" s="233"/>
      <c r="G74" s="233"/>
      <c r="H74" s="65"/>
    </row>
    <row r="75" spans="1:12" x14ac:dyDescent="0.3">
      <c r="A75" s="65"/>
      <c r="B75" s="76" t="s">
        <v>435</v>
      </c>
      <c r="C75" s="136">
        <f>C63/G63</f>
        <v>0</v>
      </c>
      <c r="D75" s="148" t="str">
        <f>IF(C75&lt;1,"CUMPLE","NO CUMPLE")</f>
        <v>CUMPLE</v>
      </c>
      <c r="E75" s="235" t="s">
        <v>481</v>
      </c>
      <c r="F75" s="235"/>
      <c r="G75" s="231">
        <f>SUM(C75:C78)</f>
        <v>0.25040062575120192</v>
      </c>
      <c r="H75" s="230" t="str">
        <f>IF(G75&lt;1,"CUMPLE","NO CUMPLE")</f>
        <v>CUMPLE</v>
      </c>
    </row>
    <row r="76" spans="1:12" x14ac:dyDescent="0.3">
      <c r="A76" s="65"/>
      <c r="B76" s="76" t="s">
        <v>436</v>
      </c>
      <c r="C76" s="136">
        <f>C64/G64</f>
        <v>0.25040062575120192</v>
      </c>
      <c r="D76" s="148" t="str">
        <f t="shared" ref="D76:D83" si="1">IF(C76&lt;1,"CUMPLE","NO CUMPLE")</f>
        <v>CUMPLE</v>
      </c>
      <c r="E76" s="235"/>
      <c r="F76" s="235"/>
      <c r="G76" s="229"/>
      <c r="H76" s="230"/>
    </row>
    <row r="77" spans="1:12" x14ac:dyDescent="0.3">
      <c r="A77" s="65"/>
      <c r="B77" s="76" t="s">
        <v>443</v>
      </c>
      <c r="C77" s="136">
        <f>C65/G66</f>
        <v>0</v>
      </c>
      <c r="D77" s="148" t="str">
        <f t="shared" si="1"/>
        <v>CUMPLE</v>
      </c>
      <c r="E77" s="235"/>
      <c r="F77" s="235"/>
      <c r="G77" s="229"/>
      <c r="H77" s="230"/>
    </row>
    <row r="78" spans="1:12" x14ac:dyDescent="0.3">
      <c r="A78" s="65"/>
      <c r="B78" s="76" t="s">
        <v>444</v>
      </c>
      <c r="C78" s="136">
        <f>C67/G66</f>
        <v>0</v>
      </c>
      <c r="D78" s="148" t="str">
        <f t="shared" si="1"/>
        <v>CUMPLE</v>
      </c>
      <c r="E78" s="235"/>
      <c r="F78" s="235"/>
      <c r="G78" s="229"/>
      <c r="H78" s="230"/>
    </row>
    <row r="79" spans="1:12" x14ac:dyDescent="0.3">
      <c r="A79" s="65"/>
      <c r="B79" s="76"/>
      <c r="C79" s="65"/>
      <c r="D79" s="148"/>
      <c r="E79" s="76"/>
      <c r="F79" s="76"/>
      <c r="G79" s="149"/>
      <c r="H79" s="150"/>
    </row>
    <row r="80" spans="1:12" x14ac:dyDescent="0.3">
      <c r="A80" s="65"/>
      <c r="B80" s="76" t="s">
        <v>433</v>
      </c>
      <c r="C80" s="136">
        <f>C69/G69</f>
        <v>0</v>
      </c>
      <c r="D80" s="148" t="str">
        <f t="shared" si="1"/>
        <v>CUMPLE</v>
      </c>
      <c r="E80" s="243" t="s">
        <v>455</v>
      </c>
      <c r="F80" s="243"/>
      <c r="G80" s="151">
        <f>SUM(C80)</f>
        <v>0</v>
      </c>
      <c r="H80" s="152" t="str">
        <f>IF(G80&lt;1,"CUMPLE","NO CUMPLE")</f>
        <v>CUMPLE</v>
      </c>
    </row>
    <row r="81" spans="1:24" x14ac:dyDescent="0.3">
      <c r="A81" s="65"/>
      <c r="B81" s="76"/>
      <c r="C81" s="65"/>
      <c r="D81" s="148"/>
      <c r="E81" s="76"/>
      <c r="F81" s="76"/>
      <c r="G81" s="149"/>
      <c r="H81" s="150"/>
    </row>
    <row r="82" spans="1:24" x14ac:dyDescent="0.3">
      <c r="A82" s="65"/>
      <c r="B82" s="76" t="s">
        <v>434</v>
      </c>
      <c r="C82" s="136">
        <f>C71/(1.4*G71)</f>
        <v>0.21462912087912087</v>
      </c>
      <c r="D82" s="148" t="str">
        <f t="shared" si="1"/>
        <v>CUMPLE</v>
      </c>
      <c r="E82" s="235" t="s">
        <v>456</v>
      </c>
      <c r="F82" s="235"/>
      <c r="G82" s="229">
        <f>SUM(C82:C83)</f>
        <v>0.21462912087912087</v>
      </c>
      <c r="H82" s="230" t="str">
        <f>IF(G82&lt;1,"CUMPLE","NO CUMPLE")</f>
        <v>CUMPLE</v>
      </c>
    </row>
    <row r="83" spans="1:24" x14ac:dyDescent="0.3">
      <c r="A83" s="65"/>
      <c r="B83" s="76" t="s">
        <v>445</v>
      </c>
      <c r="C83" s="136">
        <f>C72/G72</f>
        <v>0</v>
      </c>
      <c r="D83" s="148" t="str">
        <f t="shared" si="1"/>
        <v>CUMPLE</v>
      </c>
      <c r="E83" s="235"/>
      <c r="F83" s="235"/>
      <c r="G83" s="229"/>
      <c r="H83" s="230"/>
    </row>
    <row r="84" spans="1:24" x14ac:dyDescent="0.3">
      <c r="A84" s="65"/>
      <c r="B84" s="65"/>
      <c r="C84" s="65"/>
      <c r="D84" s="65"/>
      <c r="E84" s="65"/>
      <c r="F84" s="65"/>
      <c r="G84" s="65"/>
      <c r="H84" s="65"/>
    </row>
    <row r="85" spans="1:24" x14ac:dyDescent="0.3">
      <c r="A85" s="65"/>
      <c r="B85" s="226" t="s">
        <v>447</v>
      </c>
      <c r="C85" s="226"/>
      <c r="D85" s="226"/>
      <c r="E85" s="226"/>
      <c r="F85" s="226"/>
      <c r="G85" s="226"/>
      <c r="H85" s="226"/>
    </row>
    <row r="86" spans="1:24" x14ac:dyDescent="0.3">
      <c r="A86" s="65"/>
      <c r="B86" s="232" t="s">
        <v>448</v>
      </c>
      <c r="C86" s="232"/>
      <c r="D86" s="232" t="s">
        <v>450</v>
      </c>
      <c r="E86" s="232"/>
      <c r="F86" s="232" t="s">
        <v>449</v>
      </c>
      <c r="G86" s="232"/>
      <c r="H86" s="232" t="s">
        <v>453</v>
      </c>
    </row>
    <row r="87" spans="1:24" x14ac:dyDescent="0.3">
      <c r="A87" s="65"/>
      <c r="B87" s="84" t="s">
        <v>451</v>
      </c>
      <c r="C87" s="84" t="s">
        <v>452</v>
      </c>
      <c r="D87" s="84" t="s">
        <v>451</v>
      </c>
      <c r="E87" s="84" t="s">
        <v>452</v>
      </c>
      <c r="F87" s="84" t="s">
        <v>451</v>
      </c>
      <c r="G87" s="84" t="s">
        <v>452</v>
      </c>
      <c r="H87" s="232"/>
    </row>
    <row r="88" spans="1:24" x14ac:dyDescent="0.3">
      <c r="A88" s="65"/>
      <c r="B88" s="136">
        <f>C77+$B$3*C78</f>
        <v>0</v>
      </c>
      <c r="C88" s="136">
        <f>C78+$B$3*C77</f>
        <v>0</v>
      </c>
      <c r="D88" s="136">
        <f>C75+B88</f>
        <v>0</v>
      </c>
      <c r="E88" s="136">
        <f>C75+C88</f>
        <v>0</v>
      </c>
      <c r="F88" s="136">
        <f>(C76^2)+B88</f>
        <v>6.2700473376593485E-2</v>
      </c>
      <c r="G88" s="136">
        <f>(C76^2)+C88</f>
        <v>6.2700473376593485E-2</v>
      </c>
      <c r="H88" s="136">
        <f>C80+(C71/($B$7*G71))</f>
        <v>0.37918109644242382</v>
      </c>
    </row>
    <row r="89" spans="1:24" x14ac:dyDescent="0.3">
      <c r="A89" s="65"/>
      <c r="B89" s="65"/>
      <c r="C89" s="65"/>
      <c r="D89" s="65"/>
      <c r="E89" s="65"/>
      <c r="F89" s="65"/>
      <c r="G89" s="65"/>
      <c r="H89" s="65"/>
    </row>
    <row r="91" spans="1:24" x14ac:dyDescent="0.3">
      <c r="A91" s="177" t="s">
        <v>336</v>
      </c>
      <c r="B91" s="225" t="s">
        <v>357</v>
      </c>
      <c r="C91" s="226"/>
      <c r="D91" s="226"/>
      <c r="E91" s="226"/>
      <c r="F91" s="227"/>
      <c r="G91" s="141" t="s">
        <v>358</v>
      </c>
      <c r="H91" s="65"/>
      <c r="Q91" s="65"/>
      <c r="R91" s="65"/>
      <c r="S91" s="65"/>
      <c r="T91" s="65"/>
      <c r="U91" s="65"/>
      <c r="V91" s="65"/>
      <c r="W91" s="65"/>
      <c r="X91" s="65"/>
    </row>
    <row r="92" spans="1:24" x14ac:dyDescent="0.3">
      <c r="A92" s="142" t="s">
        <v>226</v>
      </c>
      <c r="B92" s="83" t="s">
        <v>342</v>
      </c>
      <c r="C92" s="178" t="s">
        <v>343</v>
      </c>
      <c r="D92" s="178" t="s">
        <v>231</v>
      </c>
      <c r="E92" s="178" t="s">
        <v>232</v>
      </c>
      <c r="F92" s="85" t="s">
        <v>333</v>
      </c>
      <c r="G92" s="143" t="s">
        <v>342</v>
      </c>
      <c r="H92" s="65"/>
    </row>
    <row r="93" spans="1:24" x14ac:dyDescent="0.3">
      <c r="A93" s="65"/>
      <c r="B93" s="88">
        <f>'Valores de cálculo'!L13</f>
        <v>349.99998449999998</v>
      </c>
      <c r="C93" s="88">
        <f>'Valores de cálculo'!M13</f>
        <v>0</v>
      </c>
      <c r="D93" s="144">
        <f>'Valores de cálculo'!N13</f>
        <v>0</v>
      </c>
      <c r="E93" s="144">
        <f>'Valores de cálculo'!O13</f>
        <v>0</v>
      </c>
      <c r="F93" s="88">
        <f>'Valores de cálculo'!P13</f>
        <v>0</v>
      </c>
      <c r="G93" s="88">
        <f>'Valores de cálculo'!Q13</f>
        <v>0</v>
      </c>
      <c r="H93" s="65"/>
    </row>
    <row r="94" spans="1:24" x14ac:dyDescent="0.3">
      <c r="A94" s="65"/>
      <c r="B94" s="65"/>
      <c r="C94" s="65"/>
      <c r="D94" s="65"/>
      <c r="E94" s="65"/>
      <c r="F94" s="65"/>
      <c r="G94" s="65"/>
      <c r="H94" s="65"/>
    </row>
    <row r="95" spans="1:24" x14ac:dyDescent="0.3">
      <c r="A95" s="65"/>
      <c r="B95" s="226" t="s">
        <v>429</v>
      </c>
      <c r="C95" s="226"/>
      <c r="D95" s="65"/>
      <c r="E95" s="226" t="s">
        <v>432</v>
      </c>
      <c r="F95" s="226"/>
      <c r="G95" s="226"/>
      <c r="H95" s="65"/>
    </row>
    <row r="96" spans="1:24" ht="16.2" x14ac:dyDescent="0.35">
      <c r="A96" s="65"/>
      <c r="B96" s="145" t="s">
        <v>344</v>
      </c>
      <c r="C96" s="146">
        <f>'Valores de cálculo'!M13/('Valores de cálculo'!$G$3*'Valores de cálculo'!$G$4)*10^3</f>
        <v>0</v>
      </c>
      <c r="D96" s="65"/>
      <c r="E96" s="76" t="s">
        <v>435</v>
      </c>
      <c r="F96" s="145" t="s">
        <v>438</v>
      </c>
      <c r="G96" s="147">
        <f>'Valores de cálculo'!$F$30</f>
        <v>9.6223488344898715</v>
      </c>
      <c r="H96" s="65"/>
    </row>
    <row r="97" spans="1:8" ht="16.2" x14ac:dyDescent="0.35">
      <c r="A97" s="65"/>
      <c r="B97" s="145" t="s">
        <v>238</v>
      </c>
      <c r="C97" s="146">
        <f>'Valores de cálculo'!L13/('Valores de cálculo'!$G$3*'Valores de cálculo'!$G$4)*10^3</f>
        <v>4.37499980625</v>
      </c>
      <c r="D97" s="65"/>
      <c r="E97" s="76" t="s">
        <v>436</v>
      </c>
      <c r="F97" s="145" t="s">
        <v>439</v>
      </c>
      <c r="G97" s="147">
        <f>'Valores de cálculo'!$F$32</f>
        <v>13.44</v>
      </c>
      <c r="H97" s="65"/>
    </row>
    <row r="98" spans="1:8" ht="16.2" x14ac:dyDescent="0.35">
      <c r="A98" s="65"/>
      <c r="B98" s="145" t="s">
        <v>237</v>
      </c>
      <c r="C98" s="146">
        <f>'Valores de cálculo'!N13/('Valores de cálculo'!$G$3*('Valores de cálculo'!$G$4^2)/6)*10^6</f>
        <v>0</v>
      </c>
      <c r="D98" s="65"/>
      <c r="E98" s="241" t="s">
        <v>32</v>
      </c>
      <c r="F98" s="242" t="s">
        <v>437</v>
      </c>
      <c r="G98" s="65"/>
      <c r="H98" s="65"/>
    </row>
    <row r="99" spans="1:8" ht="16.2" x14ac:dyDescent="0.35">
      <c r="A99" s="65"/>
      <c r="B99" s="145" t="s">
        <v>236</v>
      </c>
      <c r="C99" s="146">
        <f>'Valores de cálculo'!N13/('Valores de cálculo'!$G$3*('Valores de cálculo'!$G$4^2)/6)*10^6</f>
        <v>0</v>
      </c>
      <c r="D99" s="65"/>
      <c r="E99" s="241"/>
      <c r="F99" s="242"/>
      <c r="G99" s="153">
        <f>'Valores de cálculo'!$F$29</f>
        <v>13.996143759257997</v>
      </c>
      <c r="H99" s="65"/>
    </row>
    <row r="100" spans="1:8" ht="16.2" x14ac:dyDescent="0.35">
      <c r="A100" s="65"/>
      <c r="B100" s="145" t="s">
        <v>239</v>
      </c>
      <c r="C100" s="146">
        <f>'Valores de cálculo'!O13/(('Valores de cálculo'!$G$4*('Valores de cálculo'!$G$3^2))/6)*(10^6)</f>
        <v>0</v>
      </c>
      <c r="D100" s="65"/>
      <c r="E100" s="241"/>
      <c r="F100" s="242"/>
      <c r="G100" s="153"/>
      <c r="H100" s="65"/>
    </row>
    <row r="101" spans="1:8" x14ac:dyDescent="0.3">
      <c r="A101" s="65"/>
      <c r="B101" s="76"/>
      <c r="C101" s="65"/>
      <c r="D101" s="65"/>
      <c r="E101" s="76"/>
      <c r="F101" s="145"/>
      <c r="G101" s="65"/>
      <c r="H101" s="65"/>
    </row>
    <row r="102" spans="1:8" ht="16.2" x14ac:dyDescent="0.35">
      <c r="A102" s="65"/>
      <c r="B102" s="145" t="s">
        <v>243</v>
      </c>
      <c r="C102" s="146">
        <f>1.5*('Valores de cálculo'!P13/($B$5*'Valores de cálculo'!$G$4))*(10^3)</f>
        <v>0</v>
      </c>
      <c r="D102" s="65"/>
      <c r="E102" s="76" t="s">
        <v>433</v>
      </c>
      <c r="F102" s="145" t="s">
        <v>446</v>
      </c>
      <c r="G102" s="147">
        <f>'Valores de cálculo'!$F$34</f>
        <v>1.512</v>
      </c>
      <c r="H102" s="65"/>
    </row>
    <row r="103" spans="1:8" x14ac:dyDescent="0.3">
      <c r="A103" s="65"/>
      <c r="B103" s="76"/>
      <c r="C103" s="65"/>
      <c r="D103" s="65"/>
      <c r="E103" s="76"/>
      <c r="F103" s="145"/>
      <c r="G103" s="65"/>
      <c r="H103" s="65"/>
    </row>
    <row r="104" spans="1:8" ht="16.2" x14ac:dyDescent="0.35">
      <c r="A104" s="65"/>
      <c r="B104" s="145" t="s">
        <v>345</v>
      </c>
      <c r="C104" s="146">
        <f>1.5*($J$3*(10^6))/('Valores de cálculo'!$G$3*'Valores de cálculo'!$G$4*$J$4)</f>
        <v>6.25E-2</v>
      </c>
      <c r="D104" s="65"/>
      <c r="E104" s="76" t="s">
        <v>434</v>
      </c>
      <c r="F104" s="145" t="s">
        <v>440</v>
      </c>
      <c r="G104" s="147">
        <f>'Valores de cálculo'!$F$31</f>
        <v>0.22399999999999998</v>
      </c>
      <c r="H104" s="65"/>
    </row>
    <row r="105" spans="1:8" ht="16.2" x14ac:dyDescent="0.35">
      <c r="A105" s="65"/>
      <c r="B105" s="145" t="s">
        <v>349</v>
      </c>
      <c r="C105" s="146">
        <f>('Valores de cálculo'!Q13*1000)/$D$5</f>
        <v>0</v>
      </c>
      <c r="D105" s="65"/>
      <c r="E105" s="76" t="s">
        <v>445</v>
      </c>
      <c r="F105" s="145" t="s">
        <v>441</v>
      </c>
      <c r="G105" s="147">
        <f>'Valores de cálculo'!$F$33</f>
        <v>1.512</v>
      </c>
      <c r="H105" s="65"/>
    </row>
    <row r="106" spans="1:8" x14ac:dyDescent="0.3">
      <c r="A106" s="65"/>
      <c r="B106" s="65"/>
      <c r="C106" s="65"/>
      <c r="D106" s="65"/>
      <c r="E106" s="65"/>
      <c r="F106" s="65"/>
      <c r="G106" s="65"/>
      <c r="H106" s="65"/>
    </row>
    <row r="107" spans="1:8" x14ac:dyDescent="0.3">
      <c r="A107" s="65"/>
      <c r="B107" s="226" t="s">
        <v>442</v>
      </c>
      <c r="C107" s="226"/>
      <c r="D107" s="226"/>
      <c r="E107" s="233" t="s">
        <v>454</v>
      </c>
      <c r="F107" s="233"/>
      <c r="G107" s="233"/>
      <c r="H107" s="65"/>
    </row>
    <row r="108" spans="1:8" x14ac:dyDescent="0.3">
      <c r="A108" s="65"/>
      <c r="B108" s="76" t="s">
        <v>435</v>
      </c>
      <c r="C108" s="136">
        <f>C96/G96</f>
        <v>0</v>
      </c>
      <c r="D108" s="148" t="str">
        <f>IF(C108&lt;1,"CUMPLE","NO CUMPLE")</f>
        <v>CUMPLE</v>
      </c>
      <c r="E108" s="235" t="s">
        <v>481</v>
      </c>
      <c r="F108" s="235"/>
      <c r="G108" s="231">
        <f>SUM(C108:C111)</f>
        <v>0.32552081891741075</v>
      </c>
      <c r="H108" s="230" t="str">
        <f>IF(G108&lt;1,"CUMPLE","NO CUMPLE")</f>
        <v>CUMPLE</v>
      </c>
    </row>
    <row r="109" spans="1:8" x14ac:dyDescent="0.3">
      <c r="A109" s="65"/>
      <c r="B109" s="76" t="s">
        <v>436</v>
      </c>
      <c r="C109" s="136">
        <f>C97/G97</f>
        <v>0.32552081891741075</v>
      </c>
      <c r="D109" s="148" t="str">
        <f t="shared" ref="D109:D116" si="2">IF(C109&lt;1,"CUMPLE","NO CUMPLE")</f>
        <v>CUMPLE</v>
      </c>
      <c r="E109" s="235"/>
      <c r="F109" s="235"/>
      <c r="G109" s="229"/>
      <c r="H109" s="230"/>
    </row>
    <row r="110" spans="1:8" x14ac:dyDescent="0.3">
      <c r="A110" s="65"/>
      <c r="B110" s="76" t="s">
        <v>443</v>
      </c>
      <c r="C110" s="136">
        <f>C98/G99</f>
        <v>0</v>
      </c>
      <c r="D110" s="148" t="str">
        <f t="shared" si="2"/>
        <v>CUMPLE</v>
      </c>
      <c r="E110" s="235"/>
      <c r="F110" s="235"/>
      <c r="G110" s="229"/>
      <c r="H110" s="230"/>
    </row>
    <row r="111" spans="1:8" x14ac:dyDescent="0.3">
      <c r="A111" s="65"/>
      <c r="B111" s="76" t="s">
        <v>444</v>
      </c>
      <c r="C111" s="136">
        <f>C100/G99</f>
        <v>0</v>
      </c>
      <c r="D111" s="148" t="str">
        <f t="shared" si="2"/>
        <v>CUMPLE</v>
      </c>
      <c r="E111" s="235"/>
      <c r="F111" s="235"/>
      <c r="G111" s="229"/>
      <c r="H111" s="230"/>
    </row>
    <row r="112" spans="1:8" x14ac:dyDescent="0.3">
      <c r="A112" s="65"/>
      <c r="B112" s="76"/>
      <c r="C112" s="65"/>
      <c r="D112" s="148"/>
      <c r="E112" s="76"/>
      <c r="F112" s="76"/>
      <c r="G112" s="179"/>
      <c r="H112" s="150"/>
    </row>
    <row r="113" spans="1:8" x14ac:dyDescent="0.3">
      <c r="A113" s="65"/>
      <c r="B113" s="76" t="s">
        <v>433</v>
      </c>
      <c r="C113" s="136">
        <f>C102/G102</f>
        <v>0</v>
      </c>
      <c r="D113" s="148" t="str">
        <f t="shared" ref="D113:D120" si="3">IF(C113&lt;1,"CUMPLE","NO CUMPLE")</f>
        <v>CUMPLE</v>
      </c>
      <c r="E113" s="243" t="s">
        <v>455</v>
      </c>
      <c r="F113" s="243"/>
      <c r="G113" s="151">
        <f>SUM(C113)</f>
        <v>0</v>
      </c>
      <c r="H113" s="180" t="str">
        <f>IF(G113&lt;1,"CUMPLE","NO CUMPLE")</f>
        <v>CUMPLE</v>
      </c>
    </row>
    <row r="114" spans="1:8" x14ac:dyDescent="0.3">
      <c r="A114" s="65"/>
      <c r="B114" s="76"/>
      <c r="C114" s="65"/>
      <c r="D114" s="148"/>
      <c r="E114" s="76"/>
      <c r="F114" s="76"/>
      <c r="G114" s="179"/>
      <c r="H114" s="150"/>
    </row>
    <row r="115" spans="1:8" x14ac:dyDescent="0.3">
      <c r="A115" s="65"/>
      <c r="B115" s="76" t="s">
        <v>434</v>
      </c>
      <c r="C115" s="136">
        <f>C104/(1.4*G104)</f>
        <v>0.19929846938775514</v>
      </c>
      <c r="D115" s="148" t="str">
        <f t="shared" ref="D115:D121" si="4">IF(C115&lt;1,"CUMPLE","NO CUMPLE")</f>
        <v>CUMPLE</v>
      </c>
      <c r="E115" s="235" t="s">
        <v>456</v>
      </c>
      <c r="F115" s="235"/>
      <c r="G115" s="229">
        <f>SUM(C115:C116)</f>
        <v>0.19929846938775514</v>
      </c>
      <c r="H115" s="230" t="str">
        <f>IF(G115&lt;1,"CUMPLE","NO CUMPLE")</f>
        <v>CUMPLE</v>
      </c>
    </row>
    <row r="116" spans="1:8" x14ac:dyDescent="0.3">
      <c r="A116" s="65"/>
      <c r="B116" s="76" t="s">
        <v>445</v>
      </c>
      <c r="C116" s="136">
        <f>C105/G105</f>
        <v>0</v>
      </c>
      <c r="D116" s="148" t="str">
        <f t="shared" si="4"/>
        <v>CUMPLE</v>
      </c>
      <c r="E116" s="235"/>
      <c r="F116" s="235"/>
      <c r="G116" s="229"/>
      <c r="H116" s="230"/>
    </row>
    <row r="117" spans="1:8" x14ac:dyDescent="0.3">
      <c r="A117" s="65"/>
      <c r="B117" s="65"/>
      <c r="C117" s="65"/>
      <c r="D117" s="65"/>
      <c r="E117" s="65"/>
      <c r="F117" s="65"/>
      <c r="G117" s="65"/>
      <c r="H117" s="65"/>
    </row>
    <row r="118" spans="1:8" x14ac:dyDescent="0.3">
      <c r="A118" s="65"/>
      <c r="B118" s="226" t="s">
        <v>447</v>
      </c>
      <c r="C118" s="226"/>
      <c r="D118" s="226"/>
      <c r="E118" s="226"/>
      <c r="F118" s="226"/>
      <c r="G118" s="226"/>
      <c r="H118" s="226"/>
    </row>
    <row r="119" spans="1:8" x14ac:dyDescent="0.3">
      <c r="A119" s="65"/>
      <c r="B119" s="232" t="s">
        <v>448</v>
      </c>
      <c r="C119" s="232"/>
      <c r="D119" s="232" t="s">
        <v>450</v>
      </c>
      <c r="E119" s="232"/>
      <c r="F119" s="232" t="s">
        <v>449</v>
      </c>
      <c r="G119" s="232"/>
      <c r="H119" s="232" t="s">
        <v>453</v>
      </c>
    </row>
    <row r="120" spans="1:8" x14ac:dyDescent="0.3">
      <c r="A120" s="65"/>
      <c r="B120" s="178" t="s">
        <v>451</v>
      </c>
      <c r="C120" s="178" t="s">
        <v>452</v>
      </c>
      <c r="D120" s="178" t="s">
        <v>451</v>
      </c>
      <c r="E120" s="178" t="s">
        <v>452</v>
      </c>
      <c r="F120" s="178" t="s">
        <v>451</v>
      </c>
      <c r="G120" s="178" t="s">
        <v>452</v>
      </c>
      <c r="H120" s="232"/>
    </row>
    <row r="121" spans="1:8" x14ac:dyDescent="0.3">
      <c r="A121" s="65"/>
      <c r="B121" s="136">
        <f>C110+$B$3*C111</f>
        <v>0</v>
      </c>
      <c r="C121" s="136">
        <f>C111+$B$3*C110</f>
        <v>0</v>
      </c>
      <c r="D121" s="136">
        <f>C108+B121</f>
        <v>0</v>
      </c>
      <c r="E121" s="136">
        <f>C108+C121</f>
        <v>0</v>
      </c>
      <c r="F121" s="136">
        <f>(C109^2)+B121</f>
        <v>0.10596380354866172</v>
      </c>
      <c r="G121" s="136">
        <f>(C109^2)+C121</f>
        <v>0.10596380354866172</v>
      </c>
      <c r="H121" s="136">
        <f>C113+(C104/($B$7*G104))</f>
        <v>0.35209673241082218</v>
      </c>
    </row>
    <row r="124" spans="1:8" x14ac:dyDescent="0.3">
      <c r="A124" s="65"/>
      <c r="B124" s="65"/>
      <c r="C124" s="65"/>
      <c r="D124" s="65"/>
      <c r="E124" s="65"/>
      <c r="F124" s="65"/>
      <c r="G124" s="65"/>
      <c r="H124" s="65"/>
    </row>
    <row r="125" spans="1:8" x14ac:dyDescent="0.3">
      <c r="A125" s="140" t="s">
        <v>337</v>
      </c>
      <c r="B125" s="225" t="s">
        <v>357</v>
      </c>
      <c r="C125" s="226"/>
      <c r="D125" s="226"/>
      <c r="E125" s="226"/>
      <c r="F125" s="227"/>
      <c r="G125" s="141" t="s">
        <v>358</v>
      </c>
      <c r="H125" s="65"/>
    </row>
    <row r="126" spans="1:8" x14ac:dyDescent="0.3">
      <c r="A126" s="142" t="s">
        <v>226</v>
      </c>
      <c r="B126" s="83" t="s">
        <v>342</v>
      </c>
      <c r="C126" s="84" t="s">
        <v>343</v>
      </c>
      <c r="D126" s="84" t="s">
        <v>231</v>
      </c>
      <c r="E126" s="84" t="s">
        <v>232</v>
      </c>
      <c r="F126" s="85" t="s">
        <v>333</v>
      </c>
      <c r="G126" s="143" t="s">
        <v>342</v>
      </c>
      <c r="H126" s="65"/>
    </row>
    <row r="127" spans="1:8" x14ac:dyDescent="0.3">
      <c r="A127" s="65"/>
      <c r="B127" s="88">
        <f>'Valores de cálculo'!L14</f>
        <v>249.99998475000001</v>
      </c>
      <c r="C127" s="88">
        <f>'Valores de cálculo'!M14</f>
        <v>0</v>
      </c>
      <c r="D127" s="144">
        <f>'Valores de cálculo'!N14</f>
        <v>0</v>
      </c>
      <c r="E127" s="144">
        <f>'Valores de cálculo'!O14</f>
        <v>0</v>
      </c>
      <c r="F127" s="88">
        <f>'Valores de cálculo'!P14</f>
        <v>0</v>
      </c>
      <c r="G127" s="88">
        <f>'Valores de cálculo'!Q14</f>
        <v>0</v>
      </c>
      <c r="H127" s="65"/>
    </row>
    <row r="128" spans="1:8" x14ac:dyDescent="0.3">
      <c r="A128" s="65"/>
      <c r="B128" s="65"/>
      <c r="C128" s="65"/>
      <c r="D128" s="65"/>
      <c r="E128" s="65"/>
      <c r="F128" s="65"/>
      <c r="G128" s="65"/>
      <c r="H128" s="65"/>
    </row>
    <row r="129" spans="1:8" x14ac:dyDescent="0.3">
      <c r="A129" s="65"/>
      <c r="B129" s="226" t="s">
        <v>429</v>
      </c>
      <c r="C129" s="226"/>
      <c r="D129" s="65"/>
      <c r="E129" s="226" t="s">
        <v>432</v>
      </c>
      <c r="F129" s="226"/>
      <c r="G129" s="226"/>
      <c r="H129" s="65"/>
    </row>
    <row r="130" spans="1:8" ht="16.2" x14ac:dyDescent="0.35">
      <c r="A130" s="65"/>
      <c r="B130" s="145" t="s">
        <v>344</v>
      </c>
      <c r="C130" s="146">
        <f>'Valores de cálculo'!M14/('Valores de cálculo'!$G$3*'Valores de cálculo'!$G$4)*10^3</f>
        <v>0</v>
      </c>
      <c r="D130" s="65"/>
      <c r="E130" s="76" t="s">
        <v>435</v>
      </c>
      <c r="F130" s="145" t="s">
        <v>438</v>
      </c>
      <c r="G130" s="147">
        <f>'Valores de cálculo'!$F$30</f>
        <v>9.6223488344898715</v>
      </c>
      <c r="H130" s="147"/>
    </row>
    <row r="131" spans="1:8" ht="16.2" x14ac:dyDescent="0.35">
      <c r="A131" s="65"/>
      <c r="B131" s="145" t="s">
        <v>238</v>
      </c>
      <c r="C131" s="146">
        <f>'Valores de cálculo'!L14/('Valores de cálculo'!$G$3*'Valores de cálculo'!$G$4)*10^3</f>
        <v>3.1249998093750002</v>
      </c>
      <c r="D131" s="65"/>
      <c r="E131" s="76" t="s">
        <v>436</v>
      </c>
      <c r="F131" s="145" t="s">
        <v>439</v>
      </c>
      <c r="G131" s="147">
        <f>'Valores de cálculo'!$F$32</f>
        <v>13.44</v>
      </c>
      <c r="H131" s="147"/>
    </row>
    <row r="132" spans="1:8" ht="16.2" x14ac:dyDescent="0.35">
      <c r="A132" s="65"/>
      <c r="B132" s="145" t="s">
        <v>237</v>
      </c>
      <c r="C132" s="146">
        <f>'Valores de cálculo'!N14/('Valores de cálculo'!$G$3*('Valores de cálculo'!$G$4^2)/6)*10^6</f>
        <v>0</v>
      </c>
      <c r="D132" s="65"/>
      <c r="E132" s="241" t="s">
        <v>32</v>
      </c>
      <c r="F132" s="242" t="s">
        <v>437</v>
      </c>
      <c r="G132" s="65"/>
      <c r="H132" s="65"/>
    </row>
    <row r="133" spans="1:8" ht="16.2" x14ac:dyDescent="0.35">
      <c r="A133" s="65"/>
      <c r="B133" s="145" t="s">
        <v>236</v>
      </c>
      <c r="C133" s="146">
        <f>'Valores de cálculo'!N14/('Valores de cálculo'!$G$3*('Valores de cálculo'!$G$4^2)/6)*10^6</f>
        <v>0</v>
      </c>
      <c r="D133" s="65"/>
      <c r="E133" s="241"/>
      <c r="F133" s="242"/>
      <c r="G133" s="147">
        <f>'Valores de cálculo'!$F$29</f>
        <v>13.996143759257997</v>
      </c>
      <c r="H133" s="147"/>
    </row>
    <row r="134" spans="1:8" ht="16.2" x14ac:dyDescent="0.35">
      <c r="A134" s="65"/>
      <c r="B134" s="145" t="s">
        <v>239</v>
      </c>
      <c r="C134" s="146">
        <f>'Valores de cálculo'!O14/(('Valores de cálculo'!$G$4*('Valores de cálculo'!$G$3^2))/6)*(10^6)</f>
        <v>0</v>
      </c>
      <c r="D134" s="65"/>
      <c r="E134" s="241"/>
      <c r="F134" s="242"/>
      <c r="G134" s="153"/>
      <c r="H134" s="153"/>
    </row>
    <row r="135" spans="1:8" x14ac:dyDescent="0.3">
      <c r="A135" s="65"/>
      <c r="B135" s="76"/>
      <c r="C135" s="65"/>
      <c r="D135" s="65"/>
      <c r="E135" s="76"/>
      <c r="F135" s="145"/>
      <c r="G135" s="65"/>
      <c r="H135" s="65"/>
    </row>
    <row r="136" spans="1:8" ht="16.2" x14ac:dyDescent="0.35">
      <c r="A136" s="65"/>
      <c r="B136" s="145" t="s">
        <v>243</v>
      </c>
      <c r="C136" s="146">
        <f>1.5*('Valores de cálculo'!P14/($B$5*'Valores de cálculo'!$G$4))*(10^3)</f>
        <v>0</v>
      </c>
      <c r="D136" s="65"/>
      <c r="E136" s="76" t="s">
        <v>433</v>
      </c>
      <c r="F136" s="145" t="s">
        <v>446</v>
      </c>
      <c r="G136" s="147">
        <f>'Valores de cálculo'!$F$34</f>
        <v>1.512</v>
      </c>
      <c r="H136" s="147"/>
    </row>
    <row r="137" spans="1:8" x14ac:dyDescent="0.3">
      <c r="A137" s="65"/>
      <c r="B137" s="76"/>
      <c r="C137" s="65"/>
      <c r="D137" s="65"/>
      <c r="E137" s="76"/>
      <c r="F137" s="145"/>
      <c r="G137" s="65"/>
      <c r="H137" s="65"/>
    </row>
    <row r="138" spans="1:8" ht="16.2" x14ac:dyDescent="0.35">
      <c r="A138" s="65"/>
      <c r="B138" s="145" t="s">
        <v>345</v>
      </c>
      <c r="C138" s="146">
        <f>1.5*($J$3*(10^6))/('Valores de cálculo'!$G$3*'Valores de cálculo'!$G$4*$J$4)</f>
        <v>6.25E-2</v>
      </c>
      <c r="D138" s="65"/>
      <c r="E138" s="76" t="s">
        <v>434</v>
      </c>
      <c r="F138" s="145" t="s">
        <v>440</v>
      </c>
      <c r="G138" s="147">
        <f>'Valores de cálculo'!$F$31</f>
        <v>0.22399999999999998</v>
      </c>
      <c r="H138" s="147"/>
    </row>
    <row r="139" spans="1:8" ht="16.2" x14ac:dyDescent="0.35">
      <c r="A139" s="65"/>
      <c r="B139" s="145" t="s">
        <v>349</v>
      </c>
      <c r="C139" s="146">
        <f>('Valores de cálculo'!Q14*1000)/$D$5</f>
        <v>0</v>
      </c>
      <c r="D139" s="65"/>
      <c r="E139" s="76" t="s">
        <v>445</v>
      </c>
      <c r="F139" s="145" t="s">
        <v>441</v>
      </c>
      <c r="G139" s="147">
        <f>'Valores de cálculo'!$F$33</f>
        <v>1.512</v>
      </c>
      <c r="H139" s="147"/>
    </row>
    <row r="140" spans="1:8" x14ac:dyDescent="0.3">
      <c r="A140" s="65"/>
      <c r="B140" s="65"/>
      <c r="C140" s="65"/>
      <c r="D140" s="65"/>
      <c r="E140" s="65"/>
      <c r="F140" s="65"/>
      <c r="G140" s="65"/>
      <c r="H140" s="65"/>
    </row>
    <row r="141" spans="1:8" x14ac:dyDescent="0.3">
      <c r="A141" s="65"/>
      <c r="B141" s="226" t="s">
        <v>442</v>
      </c>
      <c r="C141" s="226"/>
      <c r="D141" s="226"/>
      <c r="E141" s="233" t="s">
        <v>454</v>
      </c>
      <c r="F141" s="233"/>
      <c r="G141" s="233"/>
      <c r="H141" s="65"/>
    </row>
    <row r="142" spans="1:8" x14ac:dyDescent="0.3">
      <c r="A142" s="65"/>
      <c r="B142" s="76" t="s">
        <v>435</v>
      </c>
      <c r="C142" s="136">
        <f>C130/G130</f>
        <v>0</v>
      </c>
      <c r="D142" s="148" t="str">
        <f>IF(C142&lt;1,"CUMPLE","NO CUMPLE")</f>
        <v>CUMPLE</v>
      </c>
      <c r="E142" s="235" t="s">
        <v>481</v>
      </c>
      <c r="F142" s="235"/>
      <c r="G142" s="231">
        <f>SUM(C142:C145)</f>
        <v>0.23251486676897323</v>
      </c>
      <c r="H142" s="230" t="str">
        <f>IF(G142&lt;1,"CUMPLE","NO CUMPLE")</f>
        <v>CUMPLE</v>
      </c>
    </row>
    <row r="143" spans="1:8" x14ac:dyDescent="0.3">
      <c r="A143" s="65"/>
      <c r="B143" s="76" t="s">
        <v>436</v>
      </c>
      <c r="C143" s="136">
        <f>C131/G131</f>
        <v>0.23251486676897323</v>
      </c>
      <c r="D143" s="148" t="str">
        <f t="shared" ref="D143:D150" si="5">IF(C143&lt;1,"CUMPLE","NO CUMPLE")</f>
        <v>CUMPLE</v>
      </c>
      <c r="E143" s="235"/>
      <c r="F143" s="235"/>
      <c r="G143" s="229"/>
      <c r="H143" s="230"/>
    </row>
    <row r="144" spans="1:8" x14ac:dyDescent="0.3">
      <c r="A144" s="65"/>
      <c r="B144" s="76" t="s">
        <v>443</v>
      </c>
      <c r="C144" s="136">
        <f>C132/G133</f>
        <v>0</v>
      </c>
      <c r="D144" s="148" t="str">
        <f t="shared" si="5"/>
        <v>CUMPLE</v>
      </c>
      <c r="E144" s="235"/>
      <c r="F144" s="235"/>
      <c r="G144" s="229"/>
      <c r="H144" s="230"/>
    </row>
    <row r="145" spans="1:8" x14ac:dyDescent="0.3">
      <c r="A145" s="65"/>
      <c r="B145" s="76" t="s">
        <v>444</v>
      </c>
      <c r="C145" s="136">
        <f>C134/G133</f>
        <v>0</v>
      </c>
      <c r="D145" s="148" t="str">
        <f t="shared" si="5"/>
        <v>CUMPLE</v>
      </c>
      <c r="E145" s="235"/>
      <c r="F145" s="235"/>
      <c r="G145" s="229"/>
      <c r="H145" s="230"/>
    </row>
    <row r="146" spans="1:8" x14ac:dyDescent="0.3">
      <c r="A146" s="65"/>
      <c r="B146" s="76"/>
      <c r="C146" s="65"/>
      <c r="D146" s="148"/>
      <c r="E146" s="76"/>
      <c r="F146" s="76"/>
      <c r="G146" s="149"/>
      <c r="H146" s="150"/>
    </row>
    <row r="147" spans="1:8" x14ac:dyDescent="0.3">
      <c r="A147" s="65"/>
      <c r="B147" s="76" t="s">
        <v>433</v>
      </c>
      <c r="C147" s="136">
        <f>C136/G136</f>
        <v>0</v>
      </c>
      <c r="D147" s="148" t="str">
        <f t="shared" si="5"/>
        <v>CUMPLE</v>
      </c>
      <c r="E147" s="243" t="s">
        <v>455</v>
      </c>
      <c r="F147" s="243"/>
      <c r="G147" s="151">
        <f>C147</f>
        <v>0</v>
      </c>
      <c r="H147" s="152" t="str">
        <f>IF(G147&lt;1,"CUMPLE","NO CUMPLE")</f>
        <v>CUMPLE</v>
      </c>
    </row>
    <row r="148" spans="1:8" x14ac:dyDescent="0.3">
      <c r="A148" s="65"/>
      <c r="B148" s="76"/>
      <c r="C148" s="65"/>
      <c r="D148" s="148"/>
      <c r="E148" s="76"/>
      <c r="F148" s="76"/>
      <c r="G148" s="149"/>
      <c r="H148" s="150"/>
    </row>
    <row r="149" spans="1:8" x14ac:dyDescent="0.3">
      <c r="A149" s="65"/>
      <c r="B149" s="76" t="s">
        <v>434</v>
      </c>
      <c r="C149" s="136">
        <f>C138/(1.4*G138)</f>
        <v>0.19929846938775514</v>
      </c>
      <c r="D149" s="148" t="str">
        <f t="shared" si="5"/>
        <v>CUMPLE</v>
      </c>
      <c r="E149" s="235" t="s">
        <v>456</v>
      </c>
      <c r="F149" s="235"/>
      <c r="G149" s="229">
        <f>SUM(C149:C150)</f>
        <v>0.19929846938775514</v>
      </c>
      <c r="H149" s="230" t="str">
        <f>IF(G149&lt;1,"CUMPLE","NO CUMPLE")</f>
        <v>CUMPLE</v>
      </c>
    </row>
    <row r="150" spans="1:8" x14ac:dyDescent="0.3">
      <c r="A150" s="65"/>
      <c r="B150" s="76" t="s">
        <v>445</v>
      </c>
      <c r="C150" s="136">
        <f>C139/G139</f>
        <v>0</v>
      </c>
      <c r="D150" s="148" t="str">
        <f t="shared" si="5"/>
        <v>CUMPLE</v>
      </c>
      <c r="E150" s="235"/>
      <c r="F150" s="235"/>
      <c r="G150" s="229"/>
      <c r="H150" s="230"/>
    </row>
    <row r="151" spans="1:8" x14ac:dyDescent="0.3">
      <c r="A151" s="65"/>
      <c r="B151" s="65"/>
      <c r="C151" s="65"/>
      <c r="D151" s="65"/>
      <c r="E151" s="65"/>
      <c r="F151" s="65"/>
      <c r="G151" s="65"/>
      <c r="H151" s="65"/>
    </row>
    <row r="152" spans="1:8" x14ac:dyDescent="0.3">
      <c r="A152" s="65"/>
      <c r="B152" s="226" t="s">
        <v>447</v>
      </c>
      <c r="C152" s="226"/>
      <c r="D152" s="226"/>
      <c r="E152" s="226"/>
      <c r="F152" s="226"/>
      <c r="G152" s="226"/>
      <c r="H152" s="226"/>
    </row>
    <row r="153" spans="1:8" x14ac:dyDescent="0.3">
      <c r="A153" s="65"/>
      <c r="B153" s="232" t="s">
        <v>448</v>
      </c>
      <c r="C153" s="232"/>
      <c r="D153" s="232" t="s">
        <v>450</v>
      </c>
      <c r="E153" s="232"/>
      <c r="F153" s="232" t="s">
        <v>449</v>
      </c>
      <c r="G153" s="232"/>
      <c r="H153" s="232" t="s">
        <v>453</v>
      </c>
    </row>
    <row r="154" spans="1:8" x14ac:dyDescent="0.3">
      <c r="A154" s="65"/>
      <c r="B154" s="84" t="s">
        <v>451</v>
      </c>
      <c r="C154" s="84" t="s">
        <v>452</v>
      </c>
      <c r="D154" s="84" t="s">
        <v>451</v>
      </c>
      <c r="E154" s="84" t="s">
        <v>452</v>
      </c>
      <c r="F154" s="84" t="s">
        <v>451</v>
      </c>
      <c r="G154" s="84" t="s">
        <v>452</v>
      </c>
      <c r="H154" s="232"/>
    </row>
    <row r="155" spans="1:8" x14ac:dyDescent="0.3">
      <c r="A155" s="65"/>
      <c r="B155" s="136">
        <f>C144+$B$3*C145</f>
        <v>0</v>
      </c>
      <c r="C155" s="136">
        <f>$B$3*C144+C145</f>
        <v>0</v>
      </c>
      <c r="D155" s="136">
        <f>C142+B155</f>
        <v>0</v>
      </c>
      <c r="E155" s="136">
        <f>C142+C155</f>
        <v>0</v>
      </c>
      <c r="F155" s="136">
        <f>(C143^2)+B155</f>
        <v>5.4063163268593374E-2</v>
      </c>
      <c r="G155" s="136">
        <f>(C143^2)+C155</f>
        <v>5.4063163268593374E-2</v>
      </c>
      <c r="H155" s="136">
        <f>C147+(C138/($B$7*G138))</f>
        <v>0.35209673241082218</v>
      </c>
    </row>
    <row r="156" spans="1:8" x14ac:dyDescent="0.3">
      <c r="A156" s="65"/>
      <c r="B156" s="65"/>
      <c r="C156" s="65"/>
      <c r="D156" s="65"/>
      <c r="E156" s="65"/>
      <c r="F156" s="65"/>
      <c r="G156" s="65"/>
      <c r="H156" s="65"/>
    </row>
    <row r="157" spans="1:8" x14ac:dyDescent="0.3">
      <c r="A157" s="65"/>
      <c r="B157" s="65"/>
      <c r="C157" s="65"/>
      <c r="D157" s="65"/>
      <c r="E157" s="65"/>
      <c r="F157" s="65"/>
      <c r="G157" s="65"/>
      <c r="H157" s="65"/>
    </row>
    <row r="158" spans="1:8" x14ac:dyDescent="0.3">
      <c r="A158" s="65"/>
      <c r="B158" s="65"/>
      <c r="C158" s="65"/>
      <c r="D158" s="65"/>
      <c r="E158" s="65"/>
      <c r="F158" s="65"/>
      <c r="G158" s="65"/>
      <c r="H158" s="65"/>
    </row>
    <row r="159" spans="1:8" x14ac:dyDescent="0.3">
      <c r="A159" s="65"/>
      <c r="B159" s="65"/>
      <c r="C159" s="65"/>
      <c r="D159" s="65"/>
      <c r="E159" s="65"/>
      <c r="F159" s="65"/>
      <c r="G159" s="65"/>
      <c r="H159" s="65"/>
    </row>
    <row r="160" spans="1:8" x14ac:dyDescent="0.3">
      <c r="A160" s="140" t="s">
        <v>338</v>
      </c>
      <c r="B160" s="225" t="s">
        <v>357</v>
      </c>
      <c r="C160" s="226"/>
      <c r="D160" s="226"/>
      <c r="E160" s="226"/>
      <c r="F160" s="227"/>
      <c r="G160" s="141" t="s">
        <v>358</v>
      </c>
      <c r="H160" s="65"/>
    </row>
    <row r="161" spans="1:8" x14ac:dyDescent="0.3">
      <c r="A161" s="142" t="s">
        <v>226</v>
      </c>
      <c r="B161" s="83" t="s">
        <v>342</v>
      </c>
      <c r="C161" s="84" t="s">
        <v>343</v>
      </c>
      <c r="D161" s="84" t="s">
        <v>231</v>
      </c>
      <c r="E161" s="84" t="s">
        <v>232</v>
      </c>
      <c r="F161" s="85" t="s">
        <v>333</v>
      </c>
      <c r="G161" s="143" t="s">
        <v>342</v>
      </c>
      <c r="H161" s="65"/>
    </row>
    <row r="162" spans="1:8" x14ac:dyDescent="0.3">
      <c r="A162" s="65"/>
      <c r="B162" s="88">
        <f>'Valores de cálculo'!L15</f>
        <v>249.99998475000001</v>
      </c>
      <c r="C162" s="88">
        <f>'Valores de cálculo'!M15</f>
        <v>0</v>
      </c>
      <c r="D162" s="144">
        <f>'Valores de cálculo'!N15</f>
        <v>0</v>
      </c>
      <c r="E162" s="144">
        <f>'Valores de cálculo'!O15</f>
        <v>0</v>
      </c>
      <c r="F162" s="88">
        <f>'Valores de cálculo'!P15</f>
        <v>0</v>
      </c>
      <c r="G162" s="88">
        <f>'Valores de cálculo'!Q15</f>
        <v>0</v>
      </c>
      <c r="H162" s="65"/>
    </row>
    <row r="163" spans="1:8" x14ac:dyDescent="0.3">
      <c r="A163" s="65"/>
      <c r="B163" s="65"/>
      <c r="C163" s="65"/>
      <c r="D163" s="65"/>
      <c r="E163" s="65"/>
      <c r="F163" s="65"/>
      <c r="G163" s="65"/>
      <c r="H163" s="65"/>
    </row>
    <row r="164" spans="1:8" x14ac:dyDescent="0.3">
      <c r="A164" s="65"/>
      <c r="B164" s="226" t="s">
        <v>429</v>
      </c>
      <c r="C164" s="226"/>
      <c r="D164" s="65"/>
      <c r="E164" s="226" t="s">
        <v>432</v>
      </c>
      <c r="F164" s="226"/>
      <c r="G164" s="226"/>
      <c r="H164" s="65"/>
    </row>
    <row r="165" spans="1:8" ht="16.2" x14ac:dyDescent="0.35">
      <c r="A165" s="65"/>
      <c r="B165" s="145" t="s">
        <v>344</v>
      </c>
      <c r="C165" s="146">
        <f>'Valores de cálculo'!M15/('Valores de cálculo'!$G$3*'Valores de cálculo'!$G$4)*10^3</f>
        <v>0</v>
      </c>
      <c r="D165" s="65"/>
      <c r="E165" s="76" t="s">
        <v>435</v>
      </c>
      <c r="F165" s="145" t="s">
        <v>438</v>
      </c>
      <c r="G165" s="147">
        <f>'Valores de cálculo'!$F$30</f>
        <v>9.6223488344898715</v>
      </c>
      <c r="H165" s="65"/>
    </row>
    <row r="166" spans="1:8" ht="16.2" x14ac:dyDescent="0.35">
      <c r="A166" s="65"/>
      <c r="B166" s="145" t="s">
        <v>238</v>
      </c>
      <c r="C166" s="146">
        <f>'Valores de cálculo'!L15/('Valores de cálculo'!$G$3*'Valores de cálculo'!$G$4)*10^3</f>
        <v>3.1249998093750002</v>
      </c>
      <c r="D166" s="65"/>
      <c r="E166" s="76" t="s">
        <v>436</v>
      </c>
      <c r="F166" s="145" t="s">
        <v>439</v>
      </c>
      <c r="G166" s="147">
        <f>'Valores de cálculo'!$F$32</f>
        <v>13.44</v>
      </c>
      <c r="H166" s="65"/>
    </row>
    <row r="167" spans="1:8" ht="16.2" x14ac:dyDescent="0.35">
      <c r="A167" s="65"/>
      <c r="B167" s="145" t="s">
        <v>237</v>
      </c>
      <c r="C167" s="146">
        <f>'Valores de cálculo'!N15/('Valores de cálculo'!$G$3*('Valores de cálculo'!$G$4^2)/6)*10^6</f>
        <v>0</v>
      </c>
      <c r="D167" s="65"/>
      <c r="E167" s="241" t="s">
        <v>32</v>
      </c>
      <c r="F167" s="242" t="s">
        <v>437</v>
      </c>
      <c r="G167" s="65"/>
      <c r="H167" s="65"/>
    </row>
    <row r="168" spans="1:8" ht="16.2" x14ac:dyDescent="0.35">
      <c r="A168" s="65"/>
      <c r="B168" s="145" t="s">
        <v>236</v>
      </c>
      <c r="C168" s="146">
        <f>'Valores de cálculo'!N15/('Valores de cálculo'!$G$3*('Valores de cálculo'!$G$4^2)/6)*10^6</f>
        <v>0</v>
      </c>
      <c r="D168" s="65"/>
      <c r="E168" s="241"/>
      <c r="F168" s="242"/>
      <c r="G168" s="147">
        <f>'Valores de cálculo'!$F$29</f>
        <v>13.996143759257997</v>
      </c>
      <c r="H168" s="65"/>
    </row>
    <row r="169" spans="1:8" ht="16.2" x14ac:dyDescent="0.35">
      <c r="A169" s="65"/>
      <c r="B169" s="145" t="s">
        <v>239</v>
      </c>
      <c r="C169" s="146">
        <f>'Valores de cálculo'!O15/(('Valores de cálculo'!$G$4*('Valores de cálculo'!$G$3^2))/6)*(10^6)</f>
        <v>0</v>
      </c>
      <c r="D169" s="65"/>
      <c r="E169" s="241"/>
      <c r="F169" s="242"/>
      <c r="G169" s="153"/>
      <c r="H169" s="65"/>
    </row>
    <row r="170" spans="1:8" x14ac:dyDescent="0.3">
      <c r="A170" s="65"/>
      <c r="B170" s="76"/>
      <c r="C170" s="65"/>
      <c r="D170" s="65"/>
      <c r="E170" s="76"/>
      <c r="F170" s="145"/>
      <c r="G170" s="65"/>
      <c r="H170" s="65"/>
    </row>
    <row r="171" spans="1:8" ht="16.2" x14ac:dyDescent="0.35">
      <c r="A171" s="65"/>
      <c r="B171" s="145" t="s">
        <v>243</v>
      </c>
      <c r="C171" s="146">
        <f>1.5*('Valores de cálculo'!P15/($B$5*'Valores de cálculo'!$G$4))*(10^3)</f>
        <v>0</v>
      </c>
      <c r="D171" s="65"/>
      <c r="E171" s="76" t="s">
        <v>433</v>
      </c>
      <c r="F171" s="145" t="s">
        <v>446</v>
      </c>
      <c r="G171" s="147">
        <f>'Valores de cálculo'!$F$34</f>
        <v>1.512</v>
      </c>
      <c r="H171" s="65"/>
    </row>
    <row r="172" spans="1:8" x14ac:dyDescent="0.3">
      <c r="A172" s="65"/>
      <c r="B172" s="76"/>
      <c r="C172" s="65"/>
      <c r="D172" s="65"/>
      <c r="E172" s="76"/>
      <c r="F172" s="145"/>
      <c r="G172" s="65"/>
      <c r="H172" s="65"/>
    </row>
    <row r="173" spans="1:8" ht="16.2" x14ac:dyDescent="0.35">
      <c r="A173" s="65"/>
      <c r="B173" s="145" t="s">
        <v>345</v>
      </c>
      <c r="C173" s="146">
        <f>1.5*($J$3*(10^6))/('Valores de cálculo'!$G$3*'Valores de cálculo'!$G$4*$J$4)</f>
        <v>6.25E-2</v>
      </c>
      <c r="D173" s="65"/>
      <c r="E173" s="76" t="s">
        <v>434</v>
      </c>
      <c r="F173" s="145" t="s">
        <v>440</v>
      </c>
      <c r="G173" s="147">
        <f>'Valores de cálculo'!$F$31</f>
        <v>0.22399999999999998</v>
      </c>
      <c r="H173" s="65"/>
    </row>
    <row r="174" spans="1:8" ht="16.2" x14ac:dyDescent="0.35">
      <c r="A174" s="65"/>
      <c r="B174" s="145" t="s">
        <v>349</v>
      </c>
      <c r="C174" s="146">
        <f>('Valores de cálculo'!Q15*1000)/$D$5</f>
        <v>0</v>
      </c>
      <c r="D174" s="65"/>
      <c r="E174" s="76" t="s">
        <v>445</v>
      </c>
      <c r="F174" s="145" t="s">
        <v>441</v>
      </c>
      <c r="G174" s="147">
        <f>'Valores de cálculo'!$F$33</f>
        <v>1.512</v>
      </c>
      <c r="H174" s="65"/>
    </row>
    <row r="175" spans="1:8" x14ac:dyDescent="0.3">
      <c r="A175" s="65"/>
      <c r="B175" s="65"/>
      <c r="C175" s="65"/>
      <c r="D175" s="65"/>
      <c r="E175" s="65"/>
      <c r="F175" s="65"/>
      <c r="G175" s="65"/>
      <c r="H175" s="65"/>
    </row>
    <row r="176" spans="1:8" x14ac:dyDescent="0.3">
      <c r="A176" s="65"/>
      <c r="B176" s="226" t="s">
        <v>442</v>
      </c>
      <c r="C176" s="226"/>
      <c r="D176" s="226"/>
      <c r="E176" s="233" t="s">
        <v>454</v>
      </c>
      <c r="F176" s="233"/>
      <c r="G176" s="234"/>
      <c r="H176" s="65"/>
    </row>
    <row r="177" spans="1:8" x14ac:dyDescent="0.3">
      <c r="A177" s="65"/>
      <c r="B177" s="76" t="s">
        <v>435</v>
      </c>
      <c r="C177" s="136">
        <f>C165/G165</f>
        <v>0</v>
      </c>
      <c r="D177" s="148" t="str">
        <f>IF(C177&lt;1,"CUMPLE","NO CUMPLE")</f>
        <v>CUMPLE</v>
      </c>
      <c r="E177" s="235" t="s">
        <v>481</v>
      </c>
      <c r="F177" s="235"/>
      <c r="G177" s="231">
        <f>SUM(C177:C180)</f>
        <v>0.23251486676897323</v>
      </c>
      <c r="H177" s="230" t="str">
        <f>IF(G177&lt;1,"CUMPLE","NO CUMPLE")</f>
        <v>CUMPLE</v>
      </c>
    </row>
    <row r="178" spans="1:8" x14ac:dyDescent="0.3">
      <c r="A178" s="65"/>
      <c r="B178" s="76" t="s">
        <v>436</v>
      </c>
      <c r="C178" s="136">
        <f>C166/G166</f>
        <v>0.23251486676897323</v>
      </c>
      <c r="D178" s="148" t="str">
        <f t="shared" ref="D178:D185" si="6">IF(C178&lt;1,"CUMPLE","NO CUMPLE")</f>
        <v>CUMPLE</v>
      </c>
      <c r="E178" s="235"/>
      <c r="F178" s="235"/>
      <c r="G178" s="229"/>
      <c r="H178" s="230"/>
    </row>
    <row r="179" spans="1:8" x14ac:dyDescent="0.3">
      <c r="A179" s="65"/>
      <c r="B179" s="76" t="s">
        <v>443</v>
      </c>
      <c r="C179" s="136">
        <f>C167/G168</f>
        <v>0</v>
      </c>
      <c r="D179" s="148" t="str">
        <f t="shared" si="6"/>
        <v>CUMPLE</v>
      </c>
      <c r="E179" s="235"/>
      <c r="F179" s="235"/>
      <c r="G179" s="229"/>
      <c r="H179" s="230"/>
    </row>
    <row r="180" spans="1:8" x14ac:dyDescent="0.3">
      <c r="A180" s="65"/>
      <c r="B180" s="76" t="s">
        <v>444</v>
      </c>
      <c r="C180" s="136">
        <f>C169/G168</f>
        <v>0</v>
      </c>
      <c r="D180" s="148" t="str">
        <f t="shared" si="6"/>
        <v>CUMPLE</v>
      </c>
      <c r="E180" s="235"/>
      <c r="F180" s="235"/>
      <c r="G180" s="229"/>
      <c r="H180" s="230"/>
    </row>
    <row r="181" spans="1:8" x14ac:dyDescent="0.3">
      <c r="A181" s="65"/>
      <c r="B181" s="76"/>
      <c r="C181" s="65"/>
      <c r="D181" s="148"/>
      <c r="E181" s="76"/>
      <c r="F181" s="76"/>
      <c r="G181" s="149"/>
      <c r="H181" s="150"/>
    </row>
    <row r="182" spans="1:8" x14ac:dyDescent="0.3">
      <c r="A182" s="65"/>
      <c r="B182" s="76" t="s">
        <v>433</v>
      </c>
      <c r="C182" s="136">
        <f>C171/G171</f>
        <v>0</v>
      </c>
      <c r="D182" s="148" t="str">
        <f t="shared" si="6"/>
        <v>CUMPLE</v>
      </c>
      <c r="E182" s="243" t="s">
        <v>455</v>
      </c>
      <c r="F182" s="243"/>
      <c r="G182" s="151">
        <f>C182</f>
        <v>0</v>
      </c>
      <c r="H182" s="152" t="str">
        <f>IF(G182&lt;1,"CUMPLE","NO CUMPLE")</f>
        <v>CUMPLE</v>
      </c>
    </row>
    <row r="183" spans="1:8" x14ac:dyDescent="0.3">
      <c r="A183" s="65"/>
      <c r="B183" s="76"/>
      <c r="C183" s="65"/>
      <c r="D183" s="148"/>
      <c r="E183" s="76"/>
      <c r="F183" s="76"/>
      <c r="G183" s="149"/>
      <c r="H183" s="150"/>
    </row>
    <row r="184" spans="1:8" x14ac:dyDescent="0.3">
      <c r="A184" s="65"/>
      <c r="B184" s="76" t="s">
        <v>434</v>
      </c>
      <c r="C184" s="136">
        <f>C173/(1.4*G173)</f>
        <v>0.19929846938775514</v>
      </c>
      <c r="D184" s="148" t="str">
        <f t="shared" si="6"/>
        <v>CUMPLE</v>
      </c>
      <c r="E184" s="235" t="s">
        <v>456</v>
      </c>
      <c r="F184" s="235"/>
      <c r="G184" s="229">
        <f>SUM(C184:C185)</f>
        <v>0.19929846938775514</v>
      </c>
      <c r="H184" s="230" t="str">
        <f>IF(G184&lt;1,"CUMPLE","NO CUMPLE")</f>
        <v>CUMPLE</v>
      </c>
    </row>
    <row r="185" spans="1:8" x14ac:dyDescent="0.3">
      <c r="A185" s="65"/>
      <c r="B185" s="76" t="s">
        <v>445</v>
      </c>
      <c r="C185" s="136">
        <f>C174/G174</f>
        <v>0</v>
      </c>
      <c r="D185" s="148" t="str">
        <f t="shared" si="6"/>
        <v>CUMPLE</v>
      </c>
      <c r="E185" s="235"/>
      <c r="F185" s="235"/>
      <c r="G185" s="229"/>
      <c r="H185" s="230"/>
    </row>
    <row r="186" spans="1:8" x14ac:dyDescent="0.3">
      <c r="A186" s="65"/>
      <c r="B186" s="65"/>
      <c r="C186" s="65"/>
      <c r="D186" s="65"/>
      <c r="E186" s="65"/>
      <c r="F186" s="65"/>
      <c r="G186" s="65"/>
      <c r="H186" s="65"/>
    </row>
    <row r="187" spans="1:8" x14ac:dyDescent="0.3">
      <c r="A187" s="65"/>
      <c r="B187" s="226" t="s">
        <v>447</v>
      </c>
      <c r="C187" s="226"/>
      <c r="D187" s="226"/>
      <c r="E187" s="226"/>
      <c r="F187" s="226"/>
      <c r="G187" s="226"/>
      <c r="H187" s="226"/>
    </row>
    <row r="188" spans="1:8" x14ac:dyDescent="0.3">
      <c r="A188" s="65"/>
      <c r="B188" s="232" t="s">
        <v>448</v>
      </c>
      <c r="C188" s="232"/>
      <c r="D188" s="232" t="s">
        <v>450</v>
      </c>
      <c r="E188" s="232"/>
      <c r="F188" s="232" t="s">
        <v>449</v>
      </c>
      <c r="G188" s="232"/>
      <c r="H188" s="232" t="s">
        <v>453</v>
      </c>
    </row>
    <row r="189" spans="1:8" x14ac:dyDescent="0.3">
      <c r="A189" s="65"/>
      <c r="B189" s="84" t="s">
        <v>451</v>
      </c>
      <c r="C189" s="84" t="s">
        <v>452</v>
      </c>
      <c r="D189" s="84" t="s">
        <v>451</v>
      </c>
      <c r="E189" s="84" t="s">
        <v>452</v>
      </c>
      <c r="F189" s="84" t="s">
        <v>451</v>
      </c>
      <c r="G189" s="84" t="s">
        <v>452</v>
      </c>
      <c r="H189" s="232"/>
    </row>
    <row r="190" spans="1:8" x14ac:dyDescent="0.3">
      <c r="A190" s="65"/>
      <c r="B190" s="136">
        <f>C179+$B$3*C180</f>
        <v>0</v>
      </c>
      <c r="C190" s="136">
        <f>$B$3*C179+C180</f>
        <v>0</v>
      </c>
      <c r="D190" s="136">
        <f>C177+B190</f>
        <v>0</v>
      </c>
      <c r="E190" s="136">
        <f>C177+C190</f>
        <v>0</v>
      </c>
      <c r="F190" s="136">
        <f>(C178^2)+B190</f>
        <v>5.4063163268593374E-2</v>
      </c>
      <c r="G190" s="136">
        <f>(C178^2)+C190</f>
        <v>5.4063163268593374E-2</v>
      </c>
      <c r="H190" s="136">
        <f>C182+(C173/($B$7*G173))</f>
        <v>0.35209673241082218</v>
      </c>
    </row>
    <row r="191" spans="1:8" x14ac:dyDescent="0.3">
      <c r="A191" s="65"/>
      <c r="B191" s="65"/>
      <c r="C191" s="65"/>
      <c r="D191" s="65"/>
      <c r="E191" s="65"/>
      <c r="F191" s="65"/>
      <c r="G191" s="65"/>
      <c r="H191" s="65"/>
    </row>
    <row r="192" spans="1:8" x14ac:dyDescent="0.3">
      <c r="A192" s="65"/>
      <c r="B192" s="65"/>
      <c r="C192" s="65"/>
      <c r="D192" s="65"/>
      <c r="E192" s="65"/>
      <c r="F192" s="65"/>
      <c r="G192" s="65"/>
      <c r="H192" s="65"/>
    </row>
    <row r="193" spans="1:8" x14ac:dyDescent="0.3">
      <c r="A193" s="65"/>
      <c r="B193" s="65"/>
      <c r="C193" s="65"/>
      <c r="D193" s="65"/>
      <c r="E193" s="65"/>
      <c r="F193" s="65"/>
      <c r="G193" s="65"/>
      <c r="H193" s="65"/>
    </row>
    <row r="194" spans="1:8" x14ac:dyDescent="0.3">
      <c r="A194" s="65"/>
      <c r="B194" s="65"/>
      <c r="C194" s="65"/>
      <c r="D194" s="65"/>
      <c r="E194" s="65"/>
      <c r="F194" s="65"/>
      <c r="G194" s="65"/>
      <c r="H194" s="65"/>
    </row>
    <row r="195" spans="1:8" x14ac:dyDescent="0.3">
      <c r="A195" s="65"/>
      <c r="B195" s="65"/>
      <c r="C195" s="65"/>
      <c r="D195" s="65"/>
      <c r="E195" s="65"/>
      <c r="F195" s="65"/>
      <c r="G195" s="65"/>
      <c r="H195" s="65"/>
    </row>
    <row r="196" spans="1:8" x14ac:dyDescent="0.3">
      <c r="A196" s="140" t="s">
        <v>339</v>
      </c>
      <c r="B196" s="225" t="s">
        <v>357</v>
      </c>
      <c r="C196" s="226"/>
      <c r="D196" s="226"/>
      <c r="E196" s="226"/>
      <c r="F196" s="227"/>
      <c r="G196" s="141" t="s">
        <v>358</v>
      </c>
      <c r="H196" s="65"/>
    </row>
    <row r="197" spans="1:8" x14ac:dyDescent="0.3">
      <c r="A197" s="142" t="s">
        <v>226</v>
      </c>
      <c r="B197" s="83" t="s">
        <v>342</v>
      </c>
      <c r="C197" s="84" t="s">
        <v>343</v>
      </c>
      <c r="D197" s="84" t="s">
        <v>231</v>
      </c>
      <c r="E197" s="84" t="s">
        <v>232</v>
      </c>
      <c r="F197" s="85" t="s">
        <v>333</v>
      </c>
      <c r="G197" s="143" t="s">
        <v>342</v>
      </c>
      <c r="H197" s="65"/>
    </row>
    <row r="198" spans="1:8" x14ac:dyDescent="0.3">
      <c r="A198" s="65"/>
      <c r="B198" s="88">
        <f>'Valores de cálculo'!L16</f>
        <v>349.99998449999998</v>
      </c>
      <c r="C198" s="88">
        <f>'Valores de cálculo'!M16</f>
        <v>0</v>
      </c>
      <c r="D198" s="144">
        <f>'Valores de cálculo'!N16</f>
        <v>0</v>
      </c>
      <c r="E198" s="144">
        <f>'Valores de cálculo'!O16</f>
        <v>0</v>
      </c>
      <c r="F198" s="88">
        <f>'Valores de cálculo'!P16</f>
        <v>0</v>
      </c>
      <c r="G198" s="88">
        <f>'Valores de cálculo'!Q16</f>
        <v>0</v>
      </c>
      <c r="H198" s="65"/>
    </row>
    <row r="199" spans="1:8" x14ac:dyDescent="0.3">
      <c r="A199" s="65"/>
      <c r="B199" s="65"/>
      <c r="C199" s="65"/>
      <c r="D199" s="65"/>
      <c r="E199" s="65"/>
      <c r="F199" s="65"/>
      <c r="G199" s="65"/>
      <c r="H199" s="65"/>
    </row>
    <row r="200" spans="1:8" x14ac:dyDescent="0.3">
      <c r="A200" s="65"/>
      <c r="B200" s="226" t="s">
        <v>429</v>
      </c>
      <c r="C200" s="226"/>
      <c r="D200" s="65"/>
      <c r="E200" s="226" t="s">
        <v>432</v>
      </c>
      <c r="F200" s="226"/>
      <c r="G200" s="226"/>
      <c r="H200" s="65"/>
    </row>
    <row r="201" spans="1:8" ht="16.2" x14ac:dyDescent="0.35">
      <c r="A201" s="65"/>
      <c r="B201" s="145" t="s">
        <v>344</v>
      </c>
      <c r="C201" s="146">
        <f>'Valores de cálculo'!M16/('Valores de cálculo'!$G$3*'Valores de cálculo'!$G$4)*10^3</f>
        <v>0</v>
      </c>
      <c r="D201" s="65"/>
      <c r="E201" s="76" t="s">
        <v>435</v>
      </c>
      <c r="F201" s="145" t="s">
        <v>438</v>
      </c>
      <c r="G201" s="147">
        <f>'Valores de cálculo'!$F$30</f>
        <v>9.6223488344898715</v>
      </c>
      <c r="H201" s="65"/>
    </row>
    <row r="202" spans="1:8" ht="16.2" x14ac:dyDescent="0.35">
      <c r="A202" s="65"/>
      <c r="B202" s="145" t="s">
        <v>238</v>
      </c>
      <c r="C202" s="146">
        <f>'Valores de cálculo'!L16/('Valores de cálculo'!$G$3*'Valores de cálculo'!$G$4)*10^3</f>
        <v>4.37499980625</v>
      </c>
      <c r="D202" s="65"/>
      <c r="E202" s="76" t="s">
        <v>436</v>
      </c>
      <c r="F202" s="145" t="s">
        <v>439</v>
      </c>
      <c r="G202" s="147">
        <f>'Valores de cálculo'!$F$32</f>
        <v>13.44</v>
      </c>
      <c r="H202" s="65"/>
    </row>
    <row r="203" spans="1:8" ht="16.2" x14ac:dyDescent="0.35">
      <c r="A203" s="65"/>
      <c r="B203" s="145" t="s">
        <v>237</v>
      </c>
      <c r="C203" s="146">
        <f>'Valores de cálculo'!N16/('Valores de cálculo'!$G$3*('Valores de cálculo'!$G$4^2)/6)*10^6</f>
        <v>0</v>
      </c>
      <c r="D203" s="65"/>
      <c r="E203" s="241" t="s">
        <v>32</v>
      </c>
      <c r="F203" s="242" t="s">
        <v>437</v>
      </c>
      <c r="G203" s="65"/>
      <c r="H203" s="65"/>
    </row>
    <row r="204" spans="1:8" ht="16.2" x14ac:dyDescent="0.35">
      <c r="A204" s="65"/>
      <c r="B204" s="145" t="s">
        <v>236</v>
      </c>
      <c r="C204" s="146">
        <f>'Valores de cálculo'!N16/('Valores de cálculo'!$G$3*('Valores de cálculo'!$G$4^2)/6)*10^6</f>
        <v>0</v>
      </c>
      <c r="D204" s="65"/>
      <c r="E204" s="241"/>
      <c r="F204" s="242"/>
      <c r="G204" s="147">
        <f>'Valores de cálculo'!$F$29</f>
        <v>13.996143759257997</v>
      </c>
      <c r="H204" s="65"/>
    </row>
    <row r="205" spans="1:8" ht="16.2" x14ac:dyDescent="0.35">
      <c r="A205" s="65"/>
      <c r="B205" s="145" t="s">
        <v>239</v>
      </c>
      <c r="C205" s="146">
        <f>'Valores de cálculo'!O16/(('Valores de cálculo'!$G$4*('Valores de cálculo'!$G$3^2))/6)*(10^6)</f>
        <v>0</v>
      </c>
      <c r="D205" s="65"/>
      <c r="E205" s="241"/>
      <c r="F205" s="242"/>
      <c r="G205" s="153"/>
      <c r="H205" s="65"/>
    </row>
    <row r="206" spans="1:8" x14ac:dyDescent="0.3">
      <c r="A206" s="65"/>
      <c r="B206" s="76"/>
      <c r="C206" s="65"/>
      <c r="D206" s="65"/>
      <c r="E206" s="76"/>
      <c r="F206" s="145"/>
      <c r="G206" s="65"/>
      <c r="H206" s="65"/>
    </row>
    <row r="207" spans="1:8" ht="16.2" x14ac:dyDescent="0.35">
      <c r="A207" s="65"/>
      <c r="B207" s="145" t="s">
        <v>243</v>
      </c>
      <c r="C207" s="146">
        <f>1.5*('Valores de cálculo'!P16/($B$5*'Valores de cálculo'!$G$4))*(10^3)</f>
        <v>0</v>
      </c>
      <c r="D207" s="65"/>
      <c r="E207" s="76" t="s">
        <v>433</v>
      </c>
      <c r="F207" s="145" t="s">
        <v>446</v>
      </c>
      <c r="G207" s="147">
        <f>'Valores de cálculo'!$F$34</f>
        <v>1.512</v>
      </c>
      <c r="H207" s="65"/>
    </row>
    <row r="208" spans="1:8" x14ac:dyDescent="0.3">
      <c r="A208" s="65"/>
      <c r="B208" s="76"/>
      <c r="C208" s="65"/>
      <c r="D208" s="65"/>
      <c r="E208" s="76"/>
      <c r="F208" s="145"/>
      <c r="G208" s="65"/>
      <c r="H208" s="65"/>
    </row>
    <row r="209" spans="1:46" ht="16.2" x14ac:dyDescent="0.35">
      <c r="A209" s="65"/>
      <c r="B209" s="145" t="s">
        <v>345</v>
      </c>
      <c r="C209" s="146">
        <f>1.5*($J$3*(10^6))/('Valores de cálculo'!$G$3*'Valores de cálculo'!$G$4*$J$4)</f>
        <v>6.25E-2</v>
      </c>
      <c r="D209" s="65"/>
      <c r="E209" s="76" t="s">
        <v>434</v>
      </c>
      <c r="F209" s="145" t="s">
        <v>440</v>
      </c>
      <c r="G209" s="147">
        <f>'Valores de cálculo'!$F$31</f>
        <v>0.22399999999999998</v>
      </c>
      <c r="H209" s="65"/>
    </row>
    <row r="210" spans="1:46" ht="16.2" x14ac:dyDescent="0.35">
      <c r="A210" s="65"/>
      <c r="B210" s="145" t="s">
        <v>349</v>
      </c>
      <c r="C210" s="146">
        <f>('Valores de cálculo'!Q16*1000)/$D$5</f>
        <v>0</v>
      </c>
      <c r="D210" s="65"/>
      <c r="E210" s="76" t="s">
        <v>445</v>
      </c>
      <c r="F210" s="145" t="s">
        <v>441</v>
      </c>
      <c r="G210" s="147">
        <f>'Valores de cálculo'!$F$33</f>
        <v>1.512</v>
      </c>
      <c r="H210" s="65"/>
    </row>
    <row r="211" spans="1:46" x14ac:dyDescent="0.3">
      <c r="A211" s="65"/>
      <c r="B211" s="65"/>
      <c r="C211" s="65"/>
      <c r="D211" s="65"/>
      <c r="E211" s="65"/>
      <c r="F211" s="65"/>
      <c r="G211" s="65"/>
      <c r="H211" s="65"/>
      <c r="AD211" s="52"/>
      <c r="AE211" s="52"/>
      <c r="AF211" s="52"/>
      <c r="AG211" s="52"/>
      <c r="AH211" s="52"/>
      <c r="AI211" s="52"/>
      <c r="AJ211" s="52"/>
      <c r="AK211" s="52"/>
      <c r="AL211" s="52"/>
      <c r="AM211" s="52"/>
      <c r="AN211" s="52"/>
      <c r="AO211" s="52"/>
      <c r="AP211" s="52"/>
      <c r="AQ211" s="52"/>
      <c r="AR211" s="52"/>
      <c r="AS211" s="52"/>
      <c r="AT211" s="52"/>
    </row>
    <row r="212" spans="1:46" x14ac:dyDescent="0.3">
      <c r="A212" s="65"/>
      <c r="B212" s="226" t="s">
        <v>442</v>
      </c>
      <c r="C212" s="226"/>
      <c r="D212" s="226"/>
      <c r="E212" s="233" t="s">
        <v>454</v>
      </c>
      <c r="F212" s="233"/>
      <c r="G212" s="234"/>
      <c r="H212" s="65"/>
      <c r="AD212" s="52"/>
      <c r="AE212" s="52"/>
      <c r="AF212" s="52"/>
      <c r="AG212" s="52"/>
      <c r="AH212" s="52"/>
      <c r="AI212" s="52"/>
      <c r="AJ212" s="52"/>
      <c r="AK212" s="52"/>
      <c r="AL212" s="52"/>
      <c r="AM212" s="52"/>
      <c r="AN212" s="52"/>
      <c r="AO212" s="52"/>
      <c r="AP212" s="52"/>
      <c r="AQ212" s="52"/>
      <c r="AR212" s="52"/>
      <c r="AS212" s="52"/>
      <c r="AT212" s="52"/>
    </row>
    <row r="213" spans="1:46" x14ac:dyDescent="0.3">
      <c r="A213" s="65"/>
      <c r="B213" s="76" t="s">
        <v>435</v>
      </c>
      <c r="C213" s="136">
        <f>C201/G201</f>
        <v>0</v>
      </c>
      <c r="D213" s="148" t="str">
        <f>IF(C213&lt;1,"CUMPLE","NO CUMPLE")</f>
        <v>CUMPLE</v>
      </c>
      <c r="E213" s="235" t="s">
        <v>481</v>
      </c>
      <c r="F213" s="235"/>
      <c r="G213" s="231">
        <f>SUM(C213:C216)</f>
        <v>0.32552081891741075</v>
      </c>
      <c r="H213" s="230" t="str">
        <f>IF(G213&lt;1,"CUMPLE","NO CUMPLE")</f>
        <v>CUMPLE</v>
      </c>
      <c r="AD213" s="52"/>
      <c r="AE213" s="52"/>
      <c r="AF213" s="124"/>
      <c r="AG213" s="52"/>
      <c r="AH213" s="52"/>
      <c r="AI213" s="52"/>
      <c r="AJ213" s="52"/>
      <c r="AK213" s="52"/>
      <c r="AL213" s="52"/>
      <c r="AM213" s="52"/>
      <c r="AN213" s="52"/>
      <c r="AO213" s="52"/>
      <c r="AP213" s="52"/>
      <c r="AQ213" s="52"/>
      <c r="AR213" s="52"/>
      <c r="AS213" s="52"/>
      <c r="AT213" s="52"/>
    </row>
    <row r="214" spans="1:46" x14ac:dyDescent="0.3">
      <c r="A214" s="65"/>
      <c r="B214" s="76" t="s">
        <v>436</v>
      </c>
      <c r="C214" s="136">
        <f>C202/G202</f>
        <v>0.32552081891741075</v>
      </c>
      <c r="D214" s="148" t="str">
        <f t="shared" ref="D214:D221" si="7">IF(C214&lt;1,"CUMPLE","NO CUMPLE")</f>
        <v>CUMPLE</v>
      </c>
      <c r="E214" s="235"/>
      <c r="F214" s="235"/>
      <c r="G214" s="229"/>
      <c r="H214" s="230"/>
      <c r="AD214" s="52"/>
      <c r="AE214" s="52"/>
      <c r="AF214" s="124"/>
      <c r="AG214" s="52"/>
      <c r="AH214" s="52"/>
      <c r="AI214" s="52"/>
      <c r="AJ214" s="52"/>
      <c r="AK214" s="52"/>
      <c r="AL214" s="52"/>
      <c r="AM214" s="52"/>
      <c r="AN214" s="52"/>
      <c r="AO214" s="52"/>
      <c r="AP214" s="52"/>
      <c r="AQ214" s="52"/>
      <c r="AR214" s="52"/>
      <c r="AS214" s="52"/>
      <c r="AT214" s="52"/>
    </row>
    <row r="215" spans="1:46" x14ac:dyDescent="0.3">
      <c r="A215" s="65"/>
      <c r="B215" s="76" t="s">
        <v>443</v>
      </c>
      <c r="C215" s="136">
        <f>C203/G204</f>
        <v>0</v>
      </c>
      <c r="D215" s="148" t="str">
        <f t="shared" si="7"/>
        <v>CUMPLE</v>
      </c>
      <c r="E215" s="235"/>
      <c r="F215" s="235"/>
      <c r="G215" s="229"/>
      <c r="H215" s="230"/>
      <c r="AD215" s="52"/>
      <c r="AE215" s="52"/>
      <c r="AF215" s="52"/>
      <c r="AG215" s="52"/>
      <c r="AH215" s="52"/>
      <c r="AI215" s="52"/>
      <c r="AJ215" s="52"/>
      <c r="AK215" s="52"/>
      <c r="AL215" s="52"/>
      <c r="AM215" s="52"/>
      <c r="AN215" s="52"/>
      <c r="AO215" s="52"/>
      <c r="AP215" s="52"/>
      <c r="AQ215" s="52"/>
      <c r="AR215" s="52"/>
      <c r="AS215" s="52"/>
      <c r="AT215" s="52"/>
    </row>
    <row r="216" spans="1:46" x14ac:dyDescent="0.3">
      <c r="A216" s="65"/>
      <c r="B216" s="76" t="s">
        <v>444</v>
      </c>
      <c r="C216" s="136">
        <f>C205/G204</f>
        <v>0</v>
      </c>
      <c r="D216" s="148" t="str">
        <f t="shared" si="7"/>
        <v>CUMPLE</v>
      </c>
      <c r="E216" s="235"/>
      <c r="F216" s="235"/>
      <c r="G216" s="229"/>
      <c r="H216" s="230"/>
      <c r="AD216" s="52"/>
      <c r="AE216" s="52"/>
      <c r="AF216" s="124"/>
      <c r="AG216" s="52"/>
      <c r="AH216" s="52"/>
      <c r="AI216" s="52"/>
      <c r="AJ216" s="52"/>
      <c r="AK216" s="52"/>
      <c r="AL216" s="52"/>
      <c r="AM216" s="52"/>
      <c r="AN216" s="52"/>
      <c r="AO216" s="52"/>
      <c r="AP216" s="52"/>
      <c r="AQ216" s="52"/>
      <c r="AR216" s="52"/>
      <c r="AS216" s="52"/>
      <c r="AT216" s="52"/>
    </row>
    <row r="217" spans="1:46" x14ac:dyDescent="0.3">
      <c r="A217" s="65"/>
      <c r="B217" s="76"/>
      <c r="C217" s="65"/>
      <c r="D217" s="148"/>
      <c r="E217" s="76"/>
      <c r="F217" s="76"/>
      <c r="G217" s="149"/>
      <c r="H217" s="150"/>
      <c r="AD217" s="52"/>
      <c r="AE217" s="52"/>
      <c r="AF217" s="125"/>
      <c r="AG217" s="52"/>
      <c r="AH217" s="52"/>
      <c r="AI217" s="52"/>
      <c r="AJ217" s="52"/>
      <c r="AK217" s="52"/>
      <c r="AL217" s="52"/>
      <c r="AM217" s="52"/>
      <c r="AN217" s="52"/>
      <c r="AO217" s="52"/>
      <c r="AP217" s="52"/>
      <c r="AQ217" s="52"/>
      <c r="AR217" s="52"/>
      <c r="AS217" s="52"/>
      <c r="AT217" s="52"/>
    </row>
    <row r="218" spans="1:46" x14ac:dyDescent="0.3">
      <c r="A218" s="65"/>
      <c r="B218" s="76" t="s">
        <v>433</v>
      </c>
      <c r="C218" s="136">
        <f>C207/G207</f>
        <v>0</v>
      </c>
      <c r="D218" s="148" t="str">
        <f t="shared" si="7"/>
        <v>CUMPLE</v>
      </c>
      <c r="E218" s="243" t="s">
        <v>455</v>
      </c>
      <c r="F218" s="243"/>
      <c r="G218" s="151">
        <f>C218</f>
        <v>0</v>
      </c>
      <c r="H218" s="152" t="str">
        <f>IF(G218&lt;1,"CUMPLE","NO CUMPLE")</f>
        <v>CUMPLE</v>
      </c>
      <c r="AD218" s="52"/>
      <c r="AE218" s="52"/>
      <c r="AF218" s="52"/>
      <c r="AG218" s="52"/>
      <c r="AH218" s="52"/>
      <c r="AI218" s="52"/>
      <c r="AJ218" s="52"/>
      <c r="AK218" s="52"/>
      <c r="AL218" s="52"/>
      <c r="AM218" s="52"/>
      <c r="AN218" s="52"/>
      <c r="AO218" s="52"/>
      <c r="AP218" s="52"/>
      <c r="AQ218" s="52"/>
      <c r="AR218" s="52"/>
      <c r="AS218" s="52"/>
      <c r="AT218" s="52"/>
    </row>
    <row r="219" spans="1:46" x14ac:dyDescent="0.3">
      <c r="A219" s="65"/>
      <c r="B219" s="76"/>
      <c r="C219" s="65"/>
      <c r="D219" s="148"/>
      <c r="E219" s="76"/>
      <c r="F219" s="76"/>
      <c r="G219" s="149"/>
      <c r="H219" s="150"/>
      <c r="AD219" s="52"/>
      <c r="AE219" s="52"/>
      <c r="AF219" s="124"/>
      <c r="AG219" s="52"/>
      <c r="AH219" s="52"/>
      <c r="AI219" s="52"/>
      <c r="AJ219" s="52"/>
      <c r="AK219" s="52"/>
      <c r="AL219" s="52"/>
      <c r="AM219" s="52"/>
      <c r="AN219" s="52"/>
      <c r="AO219" s="52"/>
      <c r="AP219" s="52"/>
      <c r="AQ219" s="52"/>
      <c r="AR219" s="52"/>
      <c r="AS219" s="52"/>
      <c r="AT219" s="52"/>
    </row>
    <row r="220" spans="1:46" x14ac:dyDescent="0.3">
      <c r="A220" s="65"/>
      <c r="B220" s="76" t="s">
        <v>434</v>
      </c>
      <c r="C220" s="136">
        <f>C209/(1.4*G209)</f>
        <v>0.19929846938775514</v>
      </c>
      <c r="D220" s="148" t="str">
        <f t="shared" si="7"/>
        <v>CUMPLE</v>
      </c>
      <c r="E220" s="235" t="s">
        <v>456</v>
      </c>
      <c r="F220" s="235"/>
      <c r="G220" s="229">
        <f>SUM(C220:C221)</f>
        <v>0.19929846938775514</v>
      </c>
      <c r="H220" s="230" t="str">
        <f>IF(G220&lt;1,"CUMPLE","NO CUMPLE")</f>
        <v>CUMPLE</v>
      </c>
      <c r="AD220" s="52"/>
      <c r="AE220" s="52"/>
      <c r="AF220" s="52"/>
      <c r="AG220" s="52"/>
      <c r="AH220" s="52"/>
      <c r="AI220" s="52"/>
      <c r="AJ220" s="52"/>
      <c r="AK220" s="52"/>
      <c r="AL220" s="52"/>
      <c r="AM220" s="52"/>
      <c r="AN220" s="52"/>
      <c r="AO220" s="52"/>
      <c r="AP220" s="52"/>
      <c r="AQ220" s="52"/>
      <c r="AR220" s="52"/>
      <c r="AS220" s="52"/>
      <c r="AT220" s="52"/>
    </row>
    <row r="221" spans="1:46" x14ac:dyDescent="0.3">
      <c r="A221" s="65"/>
      <c r="B221" s="76" t="s">
        <v>445</v>
      </c>
      <c r="C221" s="136">
        <f>C210/G210</f>
        <v>0</v>
      </c>
      <c r="D221" s="148" t="str">
        <f t="shared" si="7"/>
        <v>CUMPLE</v>
      </c>
      <c r="E221" s="235"/>
      <c r="F221" s="235"/>
      <c r="G221" s="229"/>
      <c r="H221" s="230"/>
      <c r="AD221" s="52"/>
      <c r="AE221" s="52"/>
      <c r="AF221" s="124"/>
      <c r="AG221" s="52"/>
      <c r="AH221" s="52"/>
      <c r="AI221" s="52"/>
      <c r="AJ221" s="52"/>
      <c r="AK221" s="52"/>
      <c r="AL221" s="52"/>
      <c r="AM221" s="52"/>
      <c r="AN221" s="52"/>
      <c r="AO221" s="52"/>
      <c r="AP221" s="52"/>
      <c r="AQ221" s="52"/>
      <c r="AR221" s="52"/>
      <c r="AS221" s="52"/>
      <c r="AT221" s="52"/>
    </row>
    <row r="222" spans="1:46" x14ac:dyDescent="0.3">
      <c r="A222" s="65"/>
      <c r="B222" s="65"/>
      <c r="C222" s="65"/>
      <c r="D222" s="65"/>
      <c r="E222" s="65"/>
      <c r="F222" s="65"/>
      <c r="G222" s="65"/>
      <c r="H222" s="65"/>
      <c r="AD222" s="52"/>
      <c r="AE222" s="52"/>
      <c r="AF222" s="124"/>
      <c r="AG222" s="52"/>
      <c r="AH222" s="52"/>
      <c r="AI222" s="52"/>
      <c r="AJ222" s="52"/>
      <c r="AK222" s="52"/>
      <c r="AL222" s="52"/>
      <c r="AM222" s="52"/>
      <c r="AN222" s="52"/>
      <c r="AO222" s="52"/>
      <c r="AP222" s="52"/>
      <c r="AQ222" s="52"/>
      <c r="AR222" s="52"/>
      <c r="AS222" s="52"/>
      <c r="AT222" s="52"/>
    </row>
    <row r="223" spans="1:46" x14ac:dyDescent="0.3">
      <c r="A223" s="65"/>
      <c r="B223" s="226" t="s">
        <v>447</v>
      </c>
      <c r="C223" s="226"/>
      <c r="D223" s="226"/>
      <c r="E223" s="226"/>
      <c r="F223" s="226"/>
      <c r="G223" s="226"/>
      <c r="H223" s="226"/>
      <c r="AD223" s="52"/>
      <c r="AE223" s="52"/>
      <c r="AF223" s="52"/>
      <c r="AG223" s="52"/>
      <c r="AH223" s="52"/>
      <c r="AI223" s="52"/>
      <c r="AJ223" s="52"/>
      <c r="AK223" s="52"/>
      <c r="AL223" s="52"/>
      <c r="AM223" s="52"/>
      <c r="AN223" s="52"/>
      <c r="AO223" s="52"/>
      <c r="AP223" s="52"/>
      <c r="AQ223" s="52"/>
      <c r="AR223" s="52"/>
      <c r="AS223" s="52"/>
      <c r="AT223" s="52"/>
    </row>
    <row r="224" spans="1:46" x14ac:dyDescent="0.3">
      <c r="A224" s="65"/>
      <c r="B224" s="232" t="s">
        <v>448</v>
      </c>
      <c r="C224" s="232"/>
      <c r="D224" s="232" t="s">
        <v>450</v>
      </c>
      <c r="E224" s="232"/>
      <c r="F224" s="232" t="s">
        <v>449</v>
      </c>
      <c r="G224" s="232"/>
      <c r="H224" s="232" t="s">
        <v>453</v>
      </c>
      <c r="AD224" s="52"/>
      <c r="AE224" s="52"/>
      <c r="AF224" s="52"/>
      <c r="AG224" s="52"/>
      <c r="AH224" s="52"/>
      <c r="AI224" s="52"/>
      <c r="AJ224" s="52"/>
      <c r="AK224" s="52"/>
      <c r="AL224" s="52"/>
      <c r="AM224" s="52"/>
      <c r="AN224" s="52"/>
      <c r="AO224" s="52"/>
      <c r="AP224" s="52"/>
      <c r="AQ224" s="52"/>
      <c r="AR224" s="52"/>
      <c r="AS224" s="52"/>
      <c r="AT224" s="52"/>
    </row>
    <row r="225" spans="1:57" x14ac:dyDescent="0.3">
      <c r="A225" s="65"/>
      <c r="B225" s="84" t="s">
        <v>451</v>
      </c>
      <c r="C225" s="84" t="s">
        <v>452</v>
      </c>
      <c r="D225" s="84" t="s">
        <v>451</v>
      </c>
      <c r="E225" s="84" t="s">
        <v>452</v>
      </c>
      <c r="F225" s="84" t="s">
        <v>451</v>
      </c>
      <c r="G225" s="84" t="s">
        <v>452</v>
      </c>
      <c r="H225" s="232"/>
      <c r="AD225" s="52"/>
      <c r="AE225" s="52"/>
      <c r="AF225" s="52"/>
      <c r="AG225" s="52"/>
      <c r="AH225" s="52"/>
      <c r="AI225" s="52"/>
      <c r="AJ225" s="52"/>
      <c r="AK225" s="52"/>
      <c r="AL225" s="52"/>
      <c r="AM225" s="52"/>
      <c r="AN225" s="52"/>
      <c r="AO225" s="52"/>
      <c r="AP225" s="52"/>
      <c r="AQ225" s="52"/>
      <c r="AR225" s="52"/>
      <c r="AS225" s="52"/>
      <c r="AT225" s="52"/>
    </row>
    <row r="226" spans="1:57" x14ac:dyDescent="0.3">
      <c r="A226" s="65"/>
      <c r="B226" s="136">
        <f>C215+$B$3*C216</f>
        <v>0</v>
      </c>
      <c r="C226" s="136">
        <f>$B$3*C215+C216</f>
        <v>0</v>
      </c>
      <c r="D226" s="136">
        <f>C213+B226</f>
        <v>0</v>
      </c>
      <c r="E226" s="136">
        <f>C213+C226</f>
        <v>0</v>
      </c>
      <c r="F226" s="136">
        <f>(C214^2)+B226</f>
        <v>0.10596380354866172</v>
      </c>
      <c r="G226" s="136">
        <f>(C214^2)+C226</f>
        <v>0.10596380354866172</v>
      </c>
      <c r="H226" s="136">
        <f>C218+(C209/($B$7*G209))</f>
        <v>0.35209673241082218</v>
      </c>
      <c r="AD226" s="52"/>
      <c r="AE226" s="52"/>
      <c r="AF226" s="52"/>
      <c r="AG226" s="52"/>
      <c r="AH226" s="52"/>
      <c r="AI226" s="52"/>
      <c r="AJ226" s="52"/>
      <c r="AK226" s="52"/>
      <c r="AL226" s="52"/>
      <c r="AM226" s="52"/>
      <c r="AN226" s="52"/>
      <c r="AO226" s="52"/>
      <c r="AP226" s="52"/>
      <c r="AQ226" s="52"/>
      <c r="AR226" s="52"/>
      <c r="AS226" s="52"/>
      <c r="AT226" s="52"/>
    </row>
    <row r="227" spans="1:57" x14ac:dyDescent="0.3">
      <c r="A227" s="65"/>
      <c r="B227" s="65"/>
      <c r="C227" s="65"/>
      <c r="D227" s="65"/>
      <c r="E227" s="65"/>
      <c r="F227" s="65"/>
      <c r="G227" s="65"/>
      <c r="H227" s="65"/>
      <c r="AD227" s="52"/>
      <c r="AE227" s="52"/>
      <c r="AF227" s="52"/>
      <c r="AG227" s="52"/>
      <c r="AH227" s="52"/>
      <c r="AI227" s="52"/>
      <c r="AJ227" s="52"/>
      <c r="AK227" s="52"/>
      <c r="AL227" s="52"/>
      <c r="AM227" s="52"/>
      <c r="AN227" s="52"/>
      <c r="AO227" s="52"/>
      <c r="AP227" s="52"/>
      <c r="AQ227" s="52"/>
      <c r="AR227" s="52"/>
      <c r="AS227" s="52"/>
      <c r="AT227" s="52"/>
    </row>
    <row r="228" spans="1:57" x14ac:dyDescent="0.3">
      <c r="A228" s="65"/>
      <c r="B228" s="65"/>
      <c r="C228" s="65"/>
      <c r="D228" s="65"/>
      <c r="E228" s="65"/>
      <c r="F228" s="65"/>
      <c r="G228" s="65"/>
      <c r="H228" s="65"/>
      <c r="AD228" s="52"/>
      <c r="AE228" s="52"/>
      <c r="AF228" s="52"/>
      <c r="AG228" s="52"/>
      <c r="AH228" s="52"/>
      <c r="AI228" s="52"/>
      <c r="AJ228" s="52"/>
      <c r="AK228" s="52"/>
      <c r="AL228" s="52"/>
      <c r="AM228" s="52"/>
      <c r="AN228" s="52"/>
      <c r="AO228" s="52"/>
      <c r="AP228" s="52"/>
      <c r="AQ228" s="52"/>
      <c r="AR228" s="52"/>
      <c r="AS228" s="52"/>
      <c r="AT228" s="52"/>
    </row>
    <row r="229" spans="1:57" x14ac:dyDescent="0.3">
      <c r="A229" s="65"/>
      <c r="B229" s="65"/>
      <c r="C229" s="65"/>
      <c r="D229" s="65"/>
      <c r="E229" s="65"/>
      <c r="F229" s="65"/>
      <c r="G229" s="65"/>
      <c r="H229" s="65"/>
      <c r="AD229" s="52"/>
      <c r="AE229" s="52"/>
      <c r="AF229" s="52"/>
      <c r="AG229" s="52"/>
      <c r="AH229" s="52"/>
      <c r="AI229" s="52"/>
      <c r="AJ229" s="52"/>
      <c r="AK229" s="52"/>
      <c r="AL229" s="52"/>
      <c r="AM229" s="52"/>
      <c r="AN229" s="52"/>
      <c r="AO229" s="52"/>
      <c r="AP229" s="52"/>
      <c r="AQ229" s="52"/>
      <c r="AR229" s="52"/>
      <c r="AS229" s="52"/>
      <c r="AT229" s="52"/>
    </row>
    <row r="230" spans="1:57" x14ac:dyDescent="0.3">
      <c r="A230" s="140" t="s">
        <v>340</v>
      </c>
      <c r="B230" s="225" t="s">
        <v>357</v>
      </c>
      <c r="C230" s="226"/>
      <c r="D230" s="226"/>
      <c r="E230" s="226"/>
      <c r="F230" s="227"/>
      <c r="G230" s="141" t="s">
        <v>358</v>
      </c>
      <c r="H230" s="65"/>
      <c r="AD230" s="52"/>
      <c r="AE230" s="52"/>
      <c r="AF230" s="52"/>
      <c r="AG230" s="52"/>
      <c r="AH230" s="52"/>
      <c r="AI230" s="52"/>
      <c r="AJ230" s="52"/>
      <c r="AK230" s="52"/>
      <c r="AL230" s="52"/>
      <c r="AM230" s="52"/>
      <c r="AN230" s="52"/>
      <c r="AO230" s="52"/>
      <c r="AP230" s="52"/>
      <c r="AQ230" s="52"/>
      <c r="AR230" s="52"/>
      <c r="AS230" s="52"/>
      <c r="AT230" s="52"/>
    </row>
    <row r="231" spans="1:57" x14ac:dyDescent="0.3">
      <c r="A231" s="142" t="s">
        <v>226</v>
      </c>
      <c r="B231" s="83" t="s">
        <v>342</v>
      </c>
      <c r="C231" s="84" t="s">
        <v>343</v>
      </c>
      <c r="D231" s="84" t="s">
        <v>231</v>
      </c>
      <c r="E231" s="84" t="s">
        <v>232</v>
      </c>
      <c r="F231" s="85" t="s">
        <v>333</v>
      </c>
      <c r="G231" s="143" t="s">
        <v>342</v>
      </c>
      <c r="H231" s="65"/>
      <c r="AD231" s="52"/>
      <c r="AE231" s="52"/>
      <c r="AF231" s="52"/>
      <c r="AG231" s="52"/>
      <c r="AH231" s="52"/>
      <c r="AI231" s="52"/>
      <c r="AJ231" s="52"/>
      <c r="AK231" s="52"/>
      <c r="AL231" s="52"/>
      <c r="AM231" s="52"/>
      <c r="AN231" s="52"/>
      <c r="AO231" s="52"/>
      <c r="AP231" s="52"/>
      <c r="AQ231" s="52"/>
      <c r="AR231" s="52"/>
      <c r="AS231" s="52"/>
      <c r="AT231" s="52"/>
    </row>
    <row r="232" spans="1:57" x14ac:dyDescent="0.3">
      <c r="A232" s="65"/>
      <c r="B232" s="88">
        <f>'Valores de cálculo'!L17</f>
        <v>349.99998449999998</v>
      </c>
      <c r="C232" s="88">
        <f>'Valores de cálculo'!M17</f>
        <v>0</v>
      </c>
      <c r="D232" s="144">
        <f>'Valores de cálculo'!N17</f>
        <v>0</v>
      </c>
      <c r="E232" s="144">
        <f>'Valores de cálculo'!O17</f>
        <v>0</v>
      </c>
      <c r="F232" s="88">
        <f>'Valores de cálculo'!P17</f>
        <v>0</v>
      </c>
      <c r="G232" s="88">
        <f>'Valores de cálculo'!Q17</f>
        <v>0</v>
      </c>
      <c r="H232" s="65"/>
      <c r="AD232" s="52"/>
      <c r="AE232" s="52"/>
      <c r="AF232" s="52"/>
      <c r="AG232" s="52"/>
      <c r="AH232" s="52"/>
      <c r="AI232" s="52"/>
      <c r="AJ232" s="52"/>
      <c r="AK232" s="52"/>
      <c r="AL232" s="52"/>
      <c r="AM232" s="52"/>
      <c r="AN232" s="52"/>
      <c r="AO232" s="52"/>
      <c r="AP232" s="52"/>
      <c r="AQ232" s="52"/>
      <c r="AR232" s="52"/>
      <c r="AS232" s="52"/>
      <c r="AT232" s="52"/>
    </row>
    <row r="233" spans="1:57" x14ac:dyDescent="0.3">
      <c r="A233" s="65"/>
      <c r="B233" s="65"/>
      <c r="C233" s="65"/>
      <c r="D233" s="65"/>
      <c r="E233" s="65"/>
      <c r="F233" s="65"/>
      <c r="G233" s="65"/>
      <c r="H233" s="65"/>
      <c r="AD233" s="52"/>
      <c r="AE233" s="52"/>
      <c r="AF233" s="52"/>
      <c r="AG233" s="52"/>
      <c r="AH233" s="52"/>
      <c r="AI233" s="52"/>
      <c r="AJ233" s="52"/>
      <c r="AK233" s="52"/>
      <c r="AL233" s="52"/>
      <c r="AM233" s="52"/>
      <c r="AN233" s="52"/>
      <c r="AO233" s="52"/>
      <c r="AP233" s="52"/>
      <c r="AQ233" s="52"/>
      <c r="AR233" s="52"/>
      <c r="AS233" s="52"/>
      <c r="AT233" s="52"/>
      <c r="AU233" s="245"/>
      <c r="AV233" s="245"/>
      <c r="AW233" s="245"/>
      <c r="AX233" s="245"/>
      <c r="AY233" s="245"/>
      <c r="AZ233" s="245"/>
      <c r="BA233" s="109"/>
      <c r="BB233" s="109"/>
    </row>
    <row r="234" spans="1:57" x14ac:dyDescent="0.3">
      <c r="A234" s="65"/>
      <c r="B234" s="226" t="s">
        <v>429</v>
      </c>
      <c r="C234" s="226"/>
      <c r="D234" s="65"/>
      <c r="E234" s="226" t="s">
        <v>432</v>
      </c>
      <c r="F234" s="226"/>
      <c r="G234" s="226"/>
      <c r="H234" s="65"/>
      <c r="AD234" s="52"/>
      <c r="AE234" s="52"/>
      <c r="AF234" s="52"/>
      <c r="AG234" s="52"/>
      <c r="AH234" s="52"/>
      <c r="AI234" s="52"/>
      <c r="AJ234" s="52"/>
      <c r="AK234" s="52"/>
      <c r="AL234" s="52"/>
      <c r="AM234" s="52"/>
      <c r="AN234" s="52"/>
      <c r="AO234" s="52"/>
      <c r="AP234" s="52"/>
      <c r="AQ234" s="52"/>
      <c r="AR234" s="52"/>
      <c r="AS234" s="52"/>
      <c r="AT234" s="52"/>
      <c r="BA234" s="126"/>
    </row>
    <row r="235" spans="1:57" ht="16.2" x14ac:dyDescent="0.35">
      <c r="A235" s="65"/>
      <c r="B235" s="145" t="s">
        <v>344</v>
      </c>
      <c r="C235" s="146">
        <f>'Valores de cálculo'!M17/('Valores de cálculo'!$G$3*'Valores de cálculo'!$G$4)*10^3</f>
        <v>0</v>
      </c>
      <c r="D235" s="65"/>
      <c r="E235" s="76" t="s">
        <v>435</v>
      </c>
      <c r="F235" s="145" t="s">
        <v>438</v>
      </c>
      <c r="G235" s="147">
        <f>'Valores de cálculo'!$F$30</f>
        <v>9.6223488344898715</v>
      </c>
      <c r="H235" s="65"/>
      <c r="AD235" s="52"/>
      <c r="AE235" s="52"/>
      <c r="AF235" s="52"/>
      <c r="AG235" s="52"/>
      <c r="AH235" s="52"/>
      <c r="AI235" s="124"/>
      <c r="AJ235" s="124"/>
      <c r="AK235" s="52"/>
      <c r="AL235" s="52"/>
      <c r="AM235" s="52"/>
      <c r="AN235" s="52"/>
      <c r="AO235" s="52"/>
      <c r="AP235" s="52"/>
      <c r="AQ235" s="52"/>
      <c r="AR235" s="52"/>
      <c r="AS235" s="52"/>
      <c r="AT235" s="52"/>
    </row>
    <row r="236" spans="1:57" ht="16.2" x14ac:dyDescent="0.35">
      <c r="A236" s="65"/>
      <c r="B236" s="145" t="s">
        <v>238</v>
      </c>
      <c r="C236" s="146">
        <f>'Valores de cálculo'!L17/('Valores de cálculo'!$G$3*'Valores de cálculo'!$G$4)*10^3</f>
        <v>4.37499980625</v>
      </c>
      <c r="D236" s="65"/>
      <c r="E236" s="76" t="s">
        <v>436</v>
      </c>
      <c r="F236" s="145" t="s">
        <v>439</v>
      </c>
      <c r="G236" s="147">
        <f>'Valores de cálculo'!$F$32</f>
        <v>13.44</v>
      </c>
      <c r="H236" s="65"/>
      <c r="AD236" s="52"/>
      <c r="AE236" s="52"/>
      <c r="AF236" s="52"/>
      <c r="AG236" s="52"/>
      <c r="AH236" s="52"/>
      <c r="AI236" s="124"/>
      <c r="AJ236" s="124"/>
      <c r="AK236" s="52"/>
      <c r="AL236" s="52"/>
      <c r="AM236" s="52"/>
      <c r="AN236" s="52"/>
      <c r="AO236" s="52"/>
      <c r="AP236" s="52"/>
      <c r="AQ236" s="52"/>
      <c r="AR236" s="52"/>
      <c r="AS236" s="52"/>
      <c r="AT236" s="52"/>
      <c r="AU236" s="115"/>
      <c r="AV236" s="115"/>
      <c r="AW236" s="115"/>
      <c r="AX236" s="115"/>
      <c r="AY236" s="115"/>
      <c r="AZ236" s="115"/>
      <c r="BA236" s="115"/>
      <c r="BC236" s="115"/>
      <c r="BD236" s="115"/>
      <c r="BE236" s="115"/>
    </row>
    <row r="237" spans="1:57" ht="16.2" x14ac:dyDescent="0.35">
      <c r="A237" s="65"/>
      <c r="B237" s="145" t="s">
        <v>237</v>
      </c>
      <c r="C237" s="146">
        <f>'Valores de cálculo'!N17/('Valores de cálculo'!$G$3*('Valores de cálculo'!$G$4^2)/6)*10^6</f>
        <v>0</v>
      </c>
      <c r="D237" s="65"/>
      <c r="E237" s="241" t="s">
        <v>32</v>
      </c>
      <c r="F237" s="242" t="s">
        <v>437</v>
      </c>
      <c r="G237" s="65"/>
      <c r="H237" s="65"/>
      <c r="AD237" s="52"/>
      <c r="AE237" s="52"/>
      <c r="AF237" s="52"/>
      <c r="AG237" s="52"/>
      <c r="AH237" s="52"/>
      <c r="AI237" s="124"/>
      <c r="AJ237" s="124"/>
      <c r="AK237" s="52"/>
      <c r="AL237" s="52"/>
      <c r="AM237" s="52"/>
      <c r="AN237" s="52"/>
      <c r="AO237" s="52"/>
      <c r="AP237" s="52"/>
      <c r="AQ237" s="52"/>
      <c r="AR237" s="52"/>
      <c r="AS237" s="52"/>
      <c r="AT237" s="52"/>
      <c r="BC237" s="115"/>
      <c r="BD237" s="115"/>
      <c r="BE237" s="115"/>
    </row>
    <row r="238" spans="1:57" ht="16.2" x14ac:dyDescent="0.35">
      <c r="A238" s="65"/>
      <c r="B238" s="145" t="s">
        <v>236</v>
      </c>
      <c r="C238" s="146">
        <f>'Valores de cálculo'!N17/('Valores de cálculo'!$G$3*('Valores de cálculo'!$G$4^2)/6)*10^6</f>
        <v>0</v>
      </c>
      <c r="D238" s="65"/>
      <c r="E238" s="241"/>
      <c r="F238" s="242"/>
      <c r="G238" s="147">
        <f>'Valores de cálculo'!$F$29</f>
        <v>13.996143759257997</v>
      </c>
      <c r="H238" s="65"/>
      <c r="AD238" s="52"/>
      <c r="AE238" s="52"/>
      <c r="AF238" s="52"/>
      <c r="AG238" s="52"/>
      <c r="AH238" s="52"/>
      <c r="AI238" s="124"/>
      <c r="AJ238" s="124"/>
      <c r="AK238" s="52"/>
      <c r="AL238" s="52"/>
      <c r="AM238" s="52"/>
      <c r="AN238" s="52"/>
      <c r="AO238" s="52"/>
      <c r="AP238" s="52"/>
      <c r="AQ238" s="52"/>
      <c r="AR238" s="52"/>
      <c r="AS238" s="52"/>
      <c r="AT238" s="52"/>
      <c r="BC238" s="115"/>
      <c r="BD238" s="115"/>
      <c r="BE238" s="115"/>
    </row>
    <row r="239" spans="1:57" ht="16.2" x14ac:dyDescent="0.35">
      <c r="A239" s="65"/>
      <c r="B239" s="145" t="s">
        <v>239</v>
      </c>
      <c r="C239" s="146">
        <f>'Valores de cálculo'!O17/(('Valores de cálculo'!$G$4*('Valores de cálculo'!$G$3^2))/6)*(10^6)</f>
        <v>0</v>
      </c>
      <c r="D239" s="65"/>
      <c r="E239" s="241"/>
      <c r="F239" s="242"/>
      <c r="G239" s="153"/>
      <c r="H239" s="65"/>
      <c r="AD239" s="52"/>
      <c r="AE239" s="52"/>
      <c r="AF239" s="52"/>
      <c r="AG239" s="52"/>
      <c r="AH239" s="52"/>
      <c r="AI239" s="124"/>
      <c r="AJ239" s="124"/>
      <c r="AK239" s="52"/>
      <c r="AL239" s="52"/>
      <c r="AM239" s="52"/>
      <c r="AN239" s="52"/>
      <c r="AO239" s="52"/>
      <c r="AP239" s="52"/>
      <c r="AQ239" s="52"/>
      <c r="AR239" s="52"/>
      <c r="AS239" s="52"/>
      <c r="AT239" s="52"/>
      <c r="BC239" s="115"/>
      <c r="BD239" s="115"/>
      <c r="BE239" s="115"/>
    </row>
    <row r="240" spans="1:57" x14ac:dyDescent="0.3">
      <c r="A240" s="65"/>
      <c r="B240" s="76"/>
      <c r="C240" s="65"/>
      <c r="D240" s="65"/>
      <c r="E240" s="76"/>
      <c r="F240" s="145"/>
      <c r="G240" s="65"/>
      <c r="H240" s="65"/>
      <c r="AD240" s="124"/>
      <c r="AE240" s="124"/>
      <c r="AF240" s="124"/>
      <c r="AG240" s="124"/>
      <c r="AH240" s="124"/>
      <c r="AI240" s="124"/>
      <c r="AJ240" s="124"/>
      <c r="AK240" s="127"/>
      <c r="AL240" s="127"/>
      <c r="AM240" s="127"/>
      <c r="AN240" s="127"/>
      <c r="AO240" s="52"/>
      <c r="AP240" s="127"/>
      <c r="AQ240" s="52"/>
      <c r="AR240" s="127"/>
      <c r="AS240" s="127"/>
      <c r="AT240" s="52"/>
      <c r="AU240" s="115"/>
      <c r="AV240" s="115"/>
      <c r="AW240" s="115"/>
      <c r="AX240" s="115"/>
      <c r="AY240" s="115"/>
      <c r="AZ240" s="115"/>
      <c r="BA240" s="115"/>
      <c r="BC240" s="115"/>
      <c r="BD240" s="115"/>
      <c r="BE240" s="115"/>
    </row>
    <row r="241" spans="1:57" ht="16.2" x14ac:dyDescent="0.35">
      <c r="A241" s="65"/>
      <c r="B241" s="145" t="s">
        <v>243</v>
      </c>
      <c r="C241" s="146">
        <f>1.5*('Valores de cálculo'!P17/($B$5*'Valores de cálculo'!$G$4))*(10^3)</f>
        <v>0</v>
      </c>
      <c r="D241" s="65"/>
      <c r="E241" s="76" t="s">
        <v>433</v>
      </c>
      <c r="F241" s="145" t="s">
        <v>446</v>
      </c>
      <c r="G241" s="147">
        <f>'Valores de cálculo'!$F$34</f>
        <v>1.512</v>
      </c>
      <c r="H241" s="65"/>
      <c r="AD241" s="52"/>
      <c r="AE241" s="52"/>
      <c r="AF241" s="52"/>
      <c r="AG241" s="52"/>
      <c r="AH241" s="52"/>
      <c r="AI241" s="52"/>
      <c r="AJ241" s="52"/>
      <c r="AK241" s="52"/>
      <c r="AL241" s="52"/>
      <c r="AM241" s="52"/>
      <c r="AN241" s="52"/>
      <c r="AO241" s="52"/>
      <c r="AP241" s="52"/>
      <c r="AQ241" s="52"/>
      <c r="AR241" s="52"/>
      <c r="AS241" s="52"/>
      <c r="AT241" s="52"/>
      <c r="BC241" s="115"/>
      <c r="BD241" s="115"/>
      <c r="BE241" s="115"/>
    </row>
    <row r="242" spans="1:57" x14ac:dyDescent="0.3">
      <c r="A242" s="65"/>
      <c r="B242" s="76"/>
      <c r="C242" s="65"/>
      <c r="D242" s="65"/>
      <c r="E242" s="76"/>
      <c r="F242" s="145"/>
      <c r="G242" s="65"/>
      <c r="H242" s="65"/>
      <c r="AD242" s="52"/>
      <c r="AE242" s="52"/>
      <c r="AF242" s="52"/>
      <c r="AG242" s="52"/>
      <c r="AH242" s="52"/>
      <c r="AI242" s="52"/>
      <c r="AJ242" s="52"/>
      <c r="AK242" s="52"/>
      <c r="AL242" s="52"/>
      <c r="AM242" s="52"/>
      <c r="AN242" s="52"/>
      <c r="AO242" s="52"/>
      <c r="AP242" s="52"/>
      <c r="AQ242" s="52"/>
      <c r="AR242" s="52"/>
      <c r="AS242" s="52"/>
      <c r="AT242" s="52"/>
      <c r="BC242" s="115"/>
      <c r="BD242" s="115"/>
      <c r="BE242" s="115"/>
    </row>
    <row r="243" spans="1:57" ht="16.2" x14ac:dyDescent="0.35">
      <c r="A243" s="65"/>
      <c r="B243" s="145" t="s">
        <v>345</v>
      </c>
      <c r="C243" s="146">
        <f>1.5*($J$3*(10^6))/('Valores de cálculo'!$G$3*'Valores de cálculo'!$G$4*$J$4)</f>
        <v>6.25E-2</v>
      </c>
      <c r="D243" s="65"/>
      <c r="E243" s="76" t="s">
        <v>434</v>
      </c>
      <c r="F243" s="145" t="s">
        <v>440</v>
      </c>
      <c r="G243" s="147">
        <f>'Valores de cálculo'!$F$31</f>
        <v>0.22399999999999998</v>
      </c>
      <c r="H243" s="65"/>
      <c r="AD243" s="124"/>
      <c r="AE243" s="124"/>
      <c r="AF243" s="124"/>
      <c r="AG243" s="124"/>
      <c r="AH243" s="124"/>
      <c r="AI243" s="52"/>
      <c r="AJ243" s="52"/>
      <c r="AK243" s="127"/>
      <c r="AL243" s="127"/>
      <c r="AM243" s="127"/>
      <c r="AN243" s="127"/>
      <c r="AO243" s="52"/>
      <c r="AP243" s="127"/>
      <c r="AQ243" s="52"/>
      <c r="AR243" s="127"/>
      <c r="AS243" s="127"/>
      <c r="AT243" s="52"/>
      <c r="AU243" s="115"/>
      <c r="AV243" s="115"/>
      <c r="AW243" s="115"/>
      <c r="AX243" s="115"/>
      <c r="AY243" s="115"/>
      <c r="AZ243" s="115"/>
      <c r="BA243" s="115"/>
      <c r="BC243" s="115"/>
      <c r="BD243" s="115"/>
      <c r="BE243" s="115"/>
    </row>
    <row r="244" spans="1:57" ht="16.2" x14ac:dyDescent="0.35">
      <c r="A244" s="65"/>
      <c r="B244" s="145" t="s">
        <v>349</v>
      </c>
      <c r="C244" s="146">
        <f>('Valores de cálculo'!Q17*1000)/$D$5</f>
        <v>0</v>
      </c>
      <c r="D244" s="65"/>
      <c r="E244" s="76" t="s">
        <v>445</v>
      </c>
      <c r="F244" s="145" t="s">
        <v>441</v>
      </c>
      <c r="G244" s="147">
        <f>'Valores de cálculo'!$F$33</f>
        <v>1.512</v>
      </c>
      <c r="H244" s="65"/>
      <c r="AD244" s="124"/>
      <c r="AE244" s="124"/>
      <c r="AF244" s="124"/>
      <c r="AG244" s="124"/>
      <c r="AH244" s="124"/>
      <c r="AI244" s="52"/>
      <c r="AJ244" s="52"/>
      <c r="AK244" s="127"/>
      <c r="AL244" s="127"/>
      <c r="AM244" s="127"/>
      <c r="AN244" s="127"/>
      <c r="AO244" s="52"/>
      <c r="AP244" s="127"/>
      <c r="AQ244" s="52"/>
      <c r="AR244" s="127"/>
      <c r="AS244" s="127"/>
      <c r="AT244" s="52"/>
      <c r="AU244" s="115"/>
      <c r="AV244" s="115"/>
      <c r="AW244" s="115"/>
      <c r="AX244" s="115"/>
      <c r="AY244" s="115"/>
      <c r="AZ244" s="115"/>
      <c r="BA244" s="115"/>
      <c r="BC244" s="115"/>
      <c r="BD244" s="115"/>
      <c r="BE244" s="115"/>
    </row>
    <row r="245" spans="1:57" x14ac:dyDescent="0.3">
      <c r="A245" s="65"/>
      <c r="B245" s="65"/>
      <c r="C245" s="65"/>
      <c r="D245" s="65"/>
      <c r="E245" s="65"/>
      <c r="F245" s="65"/>
      <c r="G245" s="65"/>
      <c r="H245" s="65"/>
      <c r="AD245" s="124"/>
      <c r="AE245" s="124"/>
      <c r="AF245" s="124"/>
      <c r="AG245" s="124"/>
      <c r="AH245" s="124"/>
      <c r="AI245" s="52"/>
      <c r="AJ245" s="52"/>
      <c r="AK245" s="127"/>
      <c r="AL245" s="127"/>
      <c r="AM245" s="127"/>
      <c r="AN245" s="127"/>
      <c r="AO245" s="52"/>
      <c r="AP245" s="127"/>
      <c r="AQ245" s="52"/>
      <c r="AR245" s="127"/>
      <c r="AS245" s="127"/>
      <c r="AT245" s="52"/>
      <c r="AU245" s="115"/>
      <c r="AV245" s="115"/>
      <c r="AW245" s="115"/>
      <c r="AX245" s="115"/>
      <c r="AY245" s="115"/>
      <c r="AZ245" s="115"/>
      <c r="BA245" s="115"/>
      <c r="BC245" s="115"/>
      <c r="BD245" s="115"/>
      <c r="BE245" s="115"/>
    </row>
    <row r="246" spans="1:57" x14ac:dyDescent="0.3">
      <c r="A246" s="65"/>
      <c r="B246" s="226" t="s">
        <v>442</v>
      </c>
      <c r="C246" s="226"/>
      <c r="D246" s="226"/>
      <c r="E246" s="233" t="s">
        <v>454</v>
      </c>
      <c r="F246" s="233"/>
      <c r="G246" s="234"/>
      <c r="H246" s="65"/>
      <c r="AD246" s="124"/>
      <c r="AE246" s="124"/>
      <c r="AF246" s="124"/>
      <c r="AG246" s="124"/>
      <c r="AH246" s="124"/>
      <c r="AI246" s="52"/>
      <c r="AJ246" s="52"/>
      <c r="AK246" s="127"/>
      <c r="AL246" s="127"/>
      <c r="AM246" s="127"/>
      <c r="AN246" s="127"/>
      <c r="AO246" s="52"/>
      <c r="AP246" s="127"/>
      <c r="AQ246" s="52"/>
      <c r="AR246" s="127"/>
      <c r="AS246" s="127"/>
      <c r="AT246" s="52"/>
      <c r="AU246" s="115"/>
      <c r="AV246" s="115"/>
      <c r="AW246" s="115"/>
      <c r="AX246" s="115"/>
      <c r="AY246" s="115"/>
      <c r="AZ246" s="115"/>
      <c r="BA246" s="115"/>
      <c r="BC246" s="115"/>
      <c r="BD246" s="115"/>
      <c r="BE246" s="115"/>
    </row>
    <row r="247" spans="1:57" x14ac:dyDescent="0.3">
      <c r="A247" s="65"/>
      <c r="B247" s="76" t="s">
        <v>435</v>
      </c>
      <c r="C247" s="136">
        <f>C235/G235</f>
        <v>0</v>
      </c>
      <c r="D247" s="148" t="str">
        <f>IF(C247&lt;1,"CUMPLE","NO CUMPLE")</f>
        <v>CUMPLE</v>
      </c>
      <c r="E247" s="235" t="s">
        <v>481</v>
      </c>
      <c r="F247" s="235"/>
      <c r="G247" s="231">
        <f>SUM(C247:C250)</f>
        <v>0.32552081891741075</v>
      </c>
      <c r="H247" s="230" t="str">
        <f>IF(G247&lt;1,"CUMPLE","NO CUMPLE")</f>
        <v>CUMPLE</v>
      </c>
      <c r="AD247" s="52"/>
      <c r="AE247" s="52"/>
      <c r="AF247" s="52"/>
      <c r="AG247" s="52"/>
      <c r="AH247" s="52"/>
      <c r="AI247" s="52"/>
      <c r="AJ247" s="52"/>
      <c r="AK247" s="52"/>
      <c r="AL247" s="52"/>
      <c r="AM247" s="52"/>
      <c r="AN247" s="52"/>
      <c r="AO247" s="52"/>
      <c r="AP247" s="52"/>
      <c r="AQ247" s="52"/>
      <c r="AR247" s="52"/>
      <c r="AS247" s="52"/>
      <c r="AT247" s="52"/>
    </row>
    <row r="248" spans="1:57" x14ac:dyDescent="0.3">
      <c r="A248" s="65"/>
      <c r="B248" s="76" t="s">
        <v>436</v>
      </c>
      <c r="C248" s="136">
        <f t="shared" ref="C248" si="8">C236/G236</f>
        <v>0.32552081891741075</v>
      </c>
      <c r="D248" s="148" t="str">
        <f t="shared" ref="D248:D250" si="9">IF(C248&lt;1,"CUMPLE","NO CUMPLE")</f>
        <v>CUMPLE</v>
      </c>
      <c r="E248" s="235"/>
      <c r="F248" s="235"/>
      <c r="G248" s="229"/>
      <c r="H248" s="230"/>
      <c r="AD248" s="52"/>
      <c r="AE248" s="52"/>
      <c r="AF248" s="52"/>
      <c r="AG248" s="52"/>
      <c r="AH248" s="52"/>
      <c r="AI248" s="52"/>
      <c r="AJ248" s="52"/>
      <c r="AK248" s="52"/>
      <c r="AL248" s="52"/>
      <c r="AM248" s="52"/>
      <c r="AN248" s="52"/>
      <c r="AO248" s="52"/>
      <c r="AP248" s="52"/>
      <c r="AQ248" s="52"/>
      <c r="AR248" s="52"/>
      <c r="AS248" s="52"/>
      <c r="AT248" s="52"/>
    </row>
    <row r="249" spans="1:57" x14ac:dyDescent="0.3">
      <c r="A249" s="65"/>
      <c r="B249" s="76" t="s">
        <v>443</v>
      </c>
      <c r="C249" s="136">
        <f>C237/G238</f>
        <v>0</v>
      </c>
      <c r="D249" s="148" t="str">
        <f t="shared" si="9"/>
        <v>CUMPLE</v>
      </c>
      <c r="E249" s="235"/>
      <c r="F249" s="235"/>
      <c r="G249" s="229"/>
      <c r="H249" s="230"/>
      <c r="AD249" s="52"/>
      <c r="AE249" s="52"/>
      <c r="AF249" s="52"/>
      <c r="AG249" s="52"/>
      <c r="AH249" s="52"/>
      <c r="AI249" s="52"/>
      <c r="AJ249" s="52"/>
      <c r="AK249" s="52"/>
      <c r="AL249" s="52"/>
      <c r="AM249" s="52"/>
      <c r="AN249" s="52"/>
      <c r="AO249" s="52"/>
      <c r="AP249" s="52"/>
      <c r="AQ249" s="52"/>
      <c r="AR249" s="52"/>
      <c r="AS249" s="52"/>
      <c r="AT249" s="52"/>
    </row>
    <row r="250" spans="1:57" x14ac:dyDescent="0.3">
      <c r="A250" s="65"/>
      <c r="B250" s="76" t="s">
        <v>444</v>
      </c>
      <c r="C250" s="136">
        <f>C239/G238</f>
        <v>0</v>
      </c>
      <c r="D250" s="148" t="str">
        <f t="shared" si="9"/>
        <v>CUMPLE</v>
      </c>
      <c r="E250" s="235"/>
      <c r="F250" s="235"/>
      <c r="G250" s="229"/>
      <c r="H250" s="230"/>
    </row>
    <row r="251" spans="1:57" x14ac:dyDescent="0.3">
      <c r="A251" s="65"/>
      <c r="B251" s="76"/>
      <c r="C251" s="136"/>
      <c r="D251" s="148"/>
      <c r="E251" s="76"/>
      <c r="F251" s="76"/>
      <c r="G251" s="149"/>
      <c r="H251" s="150"/>
    </row>
    <row r="252" spans="1:57" x14ac:dyDescent="0.3">
      <c r="A252" s="65"/>
      <c r="B252" s="76" t="s">
        <v>433</v>
      </c>
      <c r="C252" s="136">
        <f>C241/G241</f>
        <v>0</v>
      </c>
      <c r="D252" s="148" t="str">
        <f>IF(C252&lt;1,"CUMPLE","NO CUMPLE")</f>
        <v>CUMPLE</v>
      </c>
      <c r="E252" s="243" t="s">
        <v>455</v>
      </c>
      <c r="F252" s="243"/>
      <c r="G252" s="151">
        <f>C252</f>
        <v>0</v>
      </c>
      <c r="H252" s="152" t="str">
        <f>IF(G252&lt;1,"CUMPLE","NO CUMPLE")</f>
        <v>CUMPLE</v>
      </c>
    </row>
    <row r="253" spans="1:57" x14ac:dyDescent="0.3">
      <c r="A253" s="65"/>
      <c r="B253" s="76"/>
      <c r="C253" s="136"/>
      <c r="D253" s="148"/>
      <c r="E253" s="76"/>
      <c r="F253" s="76"/>
      <c r="G253" s="149"/>
      <c r="H253" s="150"/>
    </row>
    <row r="254" spans="1:57" x14ac:dyDescent="0.3">
      <c r="A254" s="65"/>
      <c r="B254" s="76" t="s">
        <v>434</v>
      </c>
      <c r="C254" s="136">
        <f>C243/G243</f>
        <v>0.27901785714285715</v>
      </c>
      <c r="D254" s="148" t="str">
        <f t="shared" ref="D254:D255" si="10">IF(C254&lt;1,"CUMPLE","NO CUMPLE")</f>
        <v>CUMPLE</v>
      </c>
      <c r="E254" s="235" t="s">
        <v>456</v>
      </c>
      <c r="F254" s="235"/>
      <c r="G254" s="229">
        <f>SUM(C254:C255)</f>
        <v>0.27901785714285715</v>
      </c>
      <c r="H254" s="230" t="str">
        <f>IF(G254&lt;1,"CUMPLE","NO CUMPLE")</f>
        <v>CUMPLE</v>
      </c>
    </row>
    <row r="255" spans="1:57" x14ac:dyDescent="0.3">
      <c r="A255" s="65"/>
      <c r="B255" s="76" t="s">
        <v>445</v>
      </c>
      <c r="C255" s="136">
        <f>C244/G244</f>
        <v>0</v>
      </c>
      <c r="D255" s="148" t="str">
        <f t="shared" si="10"/>
        <v>CUMPLE</v>
      </c>
      <c r="E255" s="235"/>
      <c r="F255" s="235"/>
      <c r="G255" s="229"/>
      <c r="H255" s="230"/>
    </row>
    <row r="256" spans="1:57" x14ac:dyDescent="0.3">
      <c r="A256" s="65"/>
      <c r="B256" s="65"/>
      <c r="C256" s="65"/>
      <c r="D256" s="65"/>
      <c r="E256" s="65"/>
      <c r="F256" s="65"/>
      <c r="G256" s="65"/>
      <c r="H256" s="65"/>
    </row>
    <row r="257" spans="1:8" x14ac:dyDescent="0.3">
      <c r="A257" s="65"/>
      <c r="B257" s="226" t="s">
        <v>447</v>
      </c>
      <c r="C257" s="226"/>
      <c r="D257" s="226"/>
      <c r="E257" s="226"/>
      <c r="F257" s="226"/>
      <c r="G257" s="226"/>
      <c r="H257" s="226"/>
    </row>
    <row r="258" spans="1:8" x14ac:dyDescent="0.3">
      <c r="A258" s="65"/>
      <c r="B258" s="232" t="s">
        <v>448</v>
      </c>
      <c r="C258" s="232"/>
      <c r="D258" s="232" t="s">
        <v>450</v>
      </c>
      <c r="E258" s="232"/>
      <c r="F258" s="232" t="s">
        <v>449</v>
      </c>
      <c r="G258" s="232"/>
      <c r="H258" s="232" t="s">
        <v>453</v>
      </c>
    </row>
    <row r="259" spans="1:8" x14ac:dyDescent="0.3">
      <c r="A259" s="65"/>
      <c r="B259" s="84" t="s">
        <v>451</v>
      </c>
      <c r="C259" s="84" t="s">
        <v>452</v>
      </c>
      <c r="D259" s="84" t="s">
        <v>451</v>
      </c>
      <c r="E259" s="84" t="s">
        <v>452</v>
      </c>
      <c r="F259" s="84" t="s">
        <v>451</v>
      </c>
      <c r="G259" s="84" t="s">
        <v>452</v>
      </c>
      <c r="H259" s="232"/>
    </row>
    <row r="260" spans="1:8" x14ac:dyDescent="0.3">
      <c r="A260" s="65"/>
      <c r="B260" s="136">
        <f>C249+$B$3*C250</f>
        <v>0</v>
      </c>
      <c r="C260" s="136">
        <f>$B$3*C249+C250</f>
        <v>0</v>
      </c>
      <c r="D260" s="136">
        <f>C247+B260</f>
        <v>0</v>
      </c>
      <c r="E260" s="136">
        <f>C247+C260</f>
        <v>0</v>
      </c>
      <c r="F260" s="136">
        <f>(C248^2)+B260</f>
        <v>0.10596380354866172</v>
      </c>
      <c r="G260" s="136">
        <f>(C248^2)+C260</f>
        <v>0.10596380354866172</v>
      </c>
      <c r="H260" s="136">
        <f>C252+(C243/($B$7*G243))</f>
        <v>0.35209673241082218</v>
      </c>
    </row>
    <row r="261" spans="1:8" x14ac:dyDescent="0.3">
      <c r="A261" s="65"/>
      <c r="B261" s="65"/>
      <c r="C261" s="65"/>
      <c r="D261" s="65"/>
      <c r="E261" s="65"/>
      <c r="F261" s="65"/>
      <c r="G261" s="65"/>
      <c r="H261" s="65"/>
    </row>
    <row r="262" spans="1:8" x14ac:dyDescent="0.3">
      <c r="A262" s="65"/>
      <c r="B262" s="65"/>
      <c r="C262" s="65"/>
      <c r="D262" s="65"/>
      <c r="E262" s="65"/>
      <c r="F262" s="65"/>
      <c r="G262" s="65"/>
      <c r="H262" s="65"/>
    </row>
    <row r="263" spans="1:8" x14ac:dyDescent="0.3">
      <c r="A263" s="65"/>
      <c r="B263" s="65"/>
      <c r="C263" s="65"/>
      <c r="D263" s="65"/>
      <c r="E263" s="65"/>
      <c r="F263" s="65"/>
      <c r="G263" s="65"/>
      <c r="H263" s="65"/>
    </row>
    <row r="264" spans="1:8" x14ac:dyDescent="0.3">
      <c r="A264" s="65"/>
      <c r="B264" s="65"/>
      <c r="C264" s="65"/>
      <c r="D264" s="65"/>
      <c r="E264" s="65"/>
      <c r="F264" s="65"/>
      <c r="G264" s="65"/>
      <c r="H264" s="65"/>
    </row>
    <row r="265" spans="1:8" x14ac:dyDescent="0.3">
      <c r="A265" s="140" t="s">
        <v>341</v>
      </c>
      <c r="B265" s="225" t="s">
        <v>357</v>
      </c>
      <c r="C265" s="226"/>
      <c r="D265" s="226"/>
      <c r="E265" s="226"/>
      <c r="F265" s="227"/>
      <c r="G265" s="141" t="s">
        <v>358</v>
      </c>
      <c r="H265" s="65"/>
    </row>
    <row r="266" spans="1:8" x14ac:dyDescent="0.3">
      <c r="A266" s="142" t="s">
        <v>226</v>
      </c>
      <c r="B266" s="83" t="s">
        <v>342</v>
      </c>
      <c r="C266" s="84" t="s">
        <v>343</v>
      </c>
      <c r="D266" s="84" t="s">
        <v>231</v>
      </c>
      <c r="E266" s="84" t="s">
        <v>232</v>
      </c>
      <c r="F266" s="85" t="s">
        <v>333</v>
      </c>
      <c r="G266" s="143" t="s">
        <v>342</v>
      </c>
      <c r="H266" s="65"/>
    </row>
    <row r="267" spans="1:8" x14ac:dyDescent="0.3">
      <c r="A267" s="65"/>
      <c r="B267" s="88">
        <f>'Valores de cálculo'!L18</f>
        <v>249.99998475000001</v>
      </c>
      <c r="C267" s="88">
        <f>'Valores de cálculo'!M18</f>
        <v>0</v>
      </c>
      <c r="D267" s="144">
        <f>'Valores de cálculo'!N18</f>
        <v>0</v>
      </c>
      <c r="E267" s="144">
        <f>'Valores de cálculo'!O18</f>
        <v>0</v>
      </c>
      <c r="F267" s="88">
        <f>'Valores de cálculo'!P18</f>
        <v>0</v>
      </c>
      <c r="G267" s="88">
        <f>'Valores de cálculo'!Q18</f>
        <v>0</v>
      </c>
      <c r="H267" s="65"/>
    </row>
    <row r="268" spans="1:8" x14ac:dyDescent="0.3">
      <c r="A268" s="65"/>
      <c r="B268" s="65"/>
      <c r="C268" s="65"/>
      <c r="D268" s="65"/>
      <c r="E268" s="65"/>
      <c r="F268" s="65"/>
      <c r="G268" s="65"/>
      <c r="H268" s="65"/>
    </row>
    <row r="269" spans="1:8" x14ac:dyDescent="0.3">
      <c r="A269" s="65"/>
      <c r="B269" s="226" t="s">
        <v>429</v>
      </c>
      <c r="C269" s="226"/>
      <c r="D269" s="65"/>
      <c r="E269" s="226" t="s">
        <v>432</v>
      </c>
      <c r="F269" s="226"/>
      <c r="G269" s="226"/>
      <c r="H269" s="65"/>
    </row>
    <row r="270" spans="1:8" ht="16.2" x14ac:dyDescent="0.35">
      <c r="A270" s="65"/>
      <c r="B270" s="145" t="s">
        <v>344</v>
      </c>
      <c r="C270" s="146">
        <f>'Valores de cálculo'!M18/('Valores de cálculo'!$G$3*'Valores de cálculo'!$G$4)*10^3</f>
        <v>0</v>
      </c>
      <c r="D270" s="65"/>
      <c r="E270" s="76" t="s">
        <v>435</v>
      </c>
      <c r="F270" s="145" t="s">
        <v>438</v>
      </c>
      <c r="G270" s="147">
        <f>'Valores de cálculo'!$F$30</f>
        <v>9.6223488344898715</v>
      </c>
      <c r="H270" s="65"/>
    </row>
    <row r="271" spans="1:8" ht="16.2" x14ac:dyDescent="0.35">
      <c r="A271" s="65"/>
      <c r="B271" s="145" t="s">
        <v>238</v>
      </c>
      <c r="C271" s="146">
        <f>'Valores de cálculo'!L18/('Valores de cálculo'!$G$3*'Valores de cálculo'!$G$4)*10^3</f>
        <v>3.1249998093750002</v>
      </c>
      <c r="D271" s="65"/>
      <c r="E271" s="76" t="s">
        <v>436</v>
      </c>
      <c r="F271" s="145" t="s">
        <v>439</v>
      </c>
      <c r="G271" s="147">
        <f>'Valores de cálculo'!$F$32</f>
        <v>13.44</v>
      </c>
      <c r="H271" s="65"/>
    </row>
    <row r="272" spans="1:8" ht="16.2" x14ac:dyDescent="0.35">
      <c r="A272" s="65"/>
      <c r="B272" s="145" t="s">
        <v>237</v>
      </c>
      <c r="C272" s="146">
        <f>'Valores de cálculo'!N18/('Valores de cálculo'!$G$3*('Valores de cálculo'!$G$4^2)/6)*10^6</f>
        <v>0</v>
      </c>
      <c r="D272" s="65"/>
      <c r="E272" s="241" t="s">
        <v>32</v>
      </c>
      <c r="F272" s="242" t="s">
        <v>437</v>
      </c>
      <c r="G272" s="65"/>
      <c r="H272" s="65"/>
    </row>
    <row r="273" spans="1:8" ht="16.2" x14ac:dyDescent="0.35">
      <c r="A273" s="65"/>
      <c r="B273" s="145" t="s">
        <v>236</v>
      </c>
      <c r="C273" s="146">
        <f>'Valores de cálculo'!N18/('Valores de cálculo'!$G$3*('Valores de cálculo'!$G$4^2)/6)*10^6</f>
        <v>0</v>
      </c>
      <c r="D273" s="65"/>
      <c r="E273" s="241"/>
      <c r="F273" s="242"/>
      <c r="G273" s="147">
        <f>'Valores de cálculo'!$F$29</f>
        <v>13.996143759257997</v>
      </c>
      <c r="H273" s="65"/>
    </row>
    <row r="274" spans="1:8" ht="16.2" x14ac:dyDescent="0.35">
      <c r="A274" s="65"/>
      <c r="B274" s="145" t="s">
        <v>239</v>
      </c>
      <c r="C274" s="146">
        <f>'Valores de cálculo'!O18/(('Valores de cálculo'!$G$4*('Valores de cálculo'!$G$3^2))/6)*(10^6)</f>
        <v>0</v>
      </c>
      <c r="D274" s="65"/>
      <c r="E274" s="241"/>
      <c r="F274" s="242"/>
      <c r="G274" s="153"/>
      <c r="H274" s="65"/>
    </row>
    <row r="275" spans="1:8" x14ac:dyDescent="0.3">
      <c r="A275" s="65"/>
      <c r="B275" s="76"/>
      <c r="C275" s="65"/>
      <c r="D275" s="65"/>
      <c r="E275" s="76"/>
      <c r="F275" s="145"/>
      <c r="G275" s="65"/>
      <c r="H275" s="65"/>
    </row>
    <row r="276" spans="1:8" ht="16.2" x14ac:dyDescent="0.35">
      <c r="A276" s="65"/>
      <c r="B276" s="145" t="s">
        <v>243</v>
      </c>
      <c r="C276" s="146">
        <f>1.5*('Valores de cálculo'!P18/($B$5*'Valores de cálculo'!$G$4))*(10^3)</f>
        <v>0</v>
      </c>
      <c r="D276" s="65"/>
      <c r="E276" s="76" t="s">
        <v>433</v>
      </c>
      <c r="F276" s="145" t="s">
        <v>446</v>
      </c>
      <c r="G276" s="147">
        <f>'Valores de cálculo'!$F$34</f>
        <v>1.512</v>
      </c>
      <c r="H276" s="65"/>
    </row>
    <row r="277" spans="1:8" x14ac:dyDescent="0.3">
      <c r="A277" s="65"/>
      <c r="B277" s="76"/>
      <c r="C277" s="65"/>
      <c r="D277" s="65"/>
      <c r="E277" s="76"/>
      <c r="F277" s="145"/>
      <c r="G277" s="65"/>
      <c r="H277" s="65"/>
    </row>
    <row r="278" spans="1:8" ht="16.2" x14ac:dyDescent="0.35">
      <c r="A278" s="65"/>
      <c r="B278" s="145" t="s">
        <v>345</v>
      </c>
      <c r="C278" s="146">
        <f>1.5*($J$3*(10^6))/('Valores de cálculo'!$G$3*'Valores de cálculo'!$G$4*$J$4)</f>
        <v>6.25E-2</v>
      </c>
      <c r="D278" s="65"/>
      <c r="E278" s="76" t="s">
        <v>434</v>
      </c>
      <c r="F278" s="145" t="s">
        <v>440</v>
      </c>
      <c r="G278" s="147">
        <f>'Valores de cálculo'!$F$31</f>
        <v>0.22399999999999998</v>
      </c>
      <c r="H278" s="65"/>
    </row>
    <row r="279" spans="1:8" ht="16.2" x14ac:dyDescent="0.35">
      <c r="A279" s="65"/>
      <c r="B279" s="145" t="s">
        <v>349</v>
      </c>
      <c r="C279" s="146">
        <f>('Valores de cálculo'!Q18*1000)/$D$5</f>
        <v>0</v>
      </c>
      <c r="D279" s="65"/>
      <c r="E279" s="76" t="s">
        <v>445</v>
      </c>
      <c r="F279" s="145" t="s">
        <v>441</v>
      </c>
      <c r="G279" s="147">
        <f>'Valores de cálculo'!$F$33</f>
        <v>1.512</v>
      </c>
      <c r="H279" s="65"/>
    </row>
    <row r="280" spans="1:8" x14ac:dyDescent="0.3">
      <c r="A280" s="65"/>
      <c r="B280" s="65"/>
      <c r="C280" s="65"/>
      <c r="D280" s="65"/>
      <c r="E280" s="65"/>
      <c r="F280" s="65"/>
      <c r="G280" s="65"/>
      <c r="H280" s="65"/>
    </row>
    <row r="281" spans="1:8" x14ac:dyDescent="0.3">
      <c r="A281" s="65"/>
      <c r="B281" s="226" t="s">
        <v>442</v>
      </c>
      <c r="C281" s="226"/>
      <c r="D281" s="226"/>
      <c r="E281" s="233" t="s">
        <v>454</v>
      </c>
      <c r="F281" s="233"/>
      <c r="G281" s="234"/>
      <c r="H281" s="65"/>
    </row>
    <row r="282" spans="1:8" x14ac:dyDescent="0.3">
      <c r="A282" s="65"/>
      <c r="B282" s="76" t="s">
        <v>435</v>
      </c>
      <c r="C282" s="136">
        <f>C270/G270</f>
        <v>0</v>
      </c>
      <c r="D282" s="148" t="str">
        <f>IF(C282&lt;1,"CUMPLE","NO CUMPLE")</f>
        <v>CUMPLE</v>
      </c>
      <c r="E282" s="235" t="s">
        <v>481</v>
      </c>
      <c r="F282" s="235"/>
      <c r="G282" s="231">
        <f>SUM(C282:C285)</f>
        <v>0.23251486676897323</v>
      </c>
      <c r="H282" s="230" t="str">
        <f>IF(G282&lt;1,"CUMPLE","NO CUMPLE")</f>
        <v>CUMPLE</v>
      </c>
    </row>
    <row r="283" spans="1:8" x14ac:dyDescent="0.3">
      <c r="A283" s="65"/>
      <c r="B283" s="76" t="s">
        <v>436</v>
      </c>
      <c r="C283" s="136">
        <f>C271/G271</f>
        <v>0.23251486676897323</v>
      </c>
      <c r="D283" s="148" t="str">
        <f t="shared" ref="D283:D290" si="11">IF(C283&lt;1,"CUMPLE","NO CUMPLE")</f>
        <v>CUMPLE</v>
      </c>
      <c r="E283" s="235"/>
      <c r="F283" s="235"/>
      <c r="G283" s="229"/>
      <c r="H283" s="230"/>
    </row>
    <row r="284" spans="1:8" x14ac:dyDescent="0.3">
      <c r="A284" s="65"/>
      <c r="B284" s="76" t="s">
        <v>443</v>
      </c>
      <c r="C284" s="136">
        <f>C272/G273</f>
        <v>0</v>
      </c>
      <c r="D284" s="148" t="str">
        <f t="shared" si="11"/>
        <v>CUMPLE</v>
      </c>
      <c r="E284" s="235"/>
      <c r="F284" s="235"/>
      <c r="G284" s="229"/>
      <c r="H284" s="230"/>
    </row>
    <row r="285" spans="1:8" x14ac:dyDescent="0.3">
      <c r="A285" s="65"/>
      <c r="B285" s="76" t="s">
        <v>444</v>
      </c>
      <c r="C285" s="136">
        <f>C274/G273</f>
        <v>0</v>
      </c>
      <c r="D285" s="148" t="str">
        <f t="shared" si="11"/>
        <v>CUMPLE</v>
      </c>
      <c r="E285" s="235"/>
      <c r="F285" s="235"/>
      <c r="G285" s="229"/>
      <c r="H285" s="230"/>
    </row>
    <row r="286" spans="1:8" x14ac:dyDescent="0.3">
      <c r="A286" s="65"/>
      <c r="B286" s="76"/>
      <c r="C286" s="136"/>
      <c r="D286" s="148"/>
      <c r="E286" s="76"/>
      <c r="F286" s="76"/>
      <c r="G286" s="149"/>
      <c r="H286" s="150"/>
    </row>
    <row r="287" spans="1:8" x14ac:dyDescent="0.3">
      <c r="A287" s="65"/>
      <c r="B287" s="76" t="s">
        <v>433</v>
      </c>
      <c r="C287" s="136">
        <f>C276/G276</f>
        <v>0</v>
      </c>
      <c r="D287" s="148" t="str">
        <f t="shared" si="11"/>
        <v>CUMPLE</v>
      </c>
      <c r="E287" s="243" t="s">
        <v>455</v>
      </c>
      <c r="F287" s="243"/>
      <c r="G287" s="151">
        <f>C287</f>
        <v>0</v>
      </c>
      <c r="H287" s="152" t="str">
        <f>IF(G287&lt;1,"CUMPLE","NO CUMPLE")</f>
        <v>CUMPLE</v>
      </c>
    </row>
    <row r="288" spans="1:8" x14ac:dyDescent="0.3">
      <c r="A288" s="65"/>
      <c r="B288" s="76"/>
      <c r="C288" s="136"/>
      <c r="D288" s="148"/>
      <c r="E288" s="76"/>
      <c r="F288" s="76"/>
      <c r="G288" s="149"/>
      <c r="H288" s="150"/>
    </row>
    <row r="289" spans="1:8" x14ac:dyDescent="0.3">
      <c r="A289" s="65"/>
      <c r="B289" s="76" t="s">
        <v>434</v>
      </c>
      <c r="C289" s="136">
        <f>C278/(1.4*G278)</f>
        <v>0.19929846938775514</v>
      </c>
      <c r="D289" s="148" t="str">
        <f t="shared" si="11"/>
        <v>CUMPLE</v>
      </c>
      <c r="E289" s="235" t="s">
        <v>456</v>
      </c>
      <c r="F289" s="235"/>
      <c r="G289" s="229">
        <f>SUM(C289:C290)</f>
        <v>0.19929846938775514</v>
      </c>
      <c r="H289" s="230" t="str">
        <f>IF(G289&lt;1,"CUMPLE","NO CUMPLE")</f>
        <v>CUMPLE</v>
      </c>
    </row>
    <row r="290" spans="1:8" x14ac:dyDescent="0.3">
      <c r="A290" s="65"/>
      <c r="B290" s="76" t="s">
        <v>445</v>
      </c>
      <c r="C290" s="136">
        <f>C279/G279</f>
        <v>0</v>
      </c>
      <c r="D290" s="148" t="str">
        <f t="shared" si="11"/>
        <v>CUMPLE</v>
      </c>
      <c r="E290" s="235"/>
      <c r="F290" s="235"/>
      <c r="G290" s="229"/>
      <c r="H290" s="230"/>
    </row>
    <row r="291" spans="1:8" x14ac:dyDescent="0.3">
      <c r="A291" s="65"/>
      <c r="B291" s="65"/>
      <c r="C291" s="65"/>
      <c r="D291" s="65"/>
      <c r="E291" s="65"/>
      <c r="F291" s="65"/>
      <c r="G291" s="65"/>
      <c r="H291" s="65"/>
    </row>
    <row r="292" spans="1:8" x14ac:dyDescent="0.3">
      <c r="A292" s="65"/>
      <c r="B292" s="226" t="s">
        <v>447</v>
      </c>
      <c r="C292" s="226"/>
      <c r="D292" s="226"/>
      <c r="E292" s="226"/>
      <c r="F292" s="226"/>
      <c r="G292" s="226"/>
      <c r="H292" s="226"/>
    </row>
    <row r="293" spans="1:8" x14ac:dyDescent="0.3">
      <c r="A293" s="65"/>
      <c r="B293" s="232" t="s">
        <v>448</v>
      </c>
      <c r="C293" s="232"/>
      <c r="D293" s="232" t="s">
        <v>450</v>
      </c>
      <c r="E293" s="232"/>
      <c r="F293" s="232" t="s">
        <v>449</v>
      </c>
      <c r="G293" s="232"/>
      <c r="H293" s="232" t="s">
        <v>453</v>
      </c>
    </row>
    <row r="294" spans="1:8" x14ac:dyDescent="0.3">
      <c r="A294" s="65"/>
      <c r="B294" s="84" t="s">
        <v>451</v>
      </c>
      <c r="C294" s="84" t="s">
        <v>452</v>
      </c>
      <c r="D294" s="84" t="s">
        <v>451</v>
      </c>
      <c r="E294" s="84" t="s">
        <v>452</v>
      </c>
      <c r="F294" s="84" t="s">
        <v>451</v>
      </c>
      <c r="G294" s="84" t="s">
        <v>452</v>
      </c>
      <c r="H294" s="232"/>
    </row>
    <row r="295" spans="1:8" x14ac:dyDescent="0.3">
      <c r="A295" s="65"/>
      <c r="B295" s="136">
        <f>C284+$B$3*C285</f>
        <v>0</v>
      </c>
      <c r="C295" s="136">
        <f>$B$3*C284+C285</f>
        <v>0</v>
      </c>
      <c r="D295" s="136">
        <f>C282+B295</f>
        <v>0</v>
      </c>
      <c r="E295" s="136">
        <f>C282+C295</f>
        <v>0</v>
      </c>
      <c r="F295" s="136">
        <f>(C283^2)+B295</f>
        <v>5.4063163268593374E-2</v>
      </c>
      <c r="G295" s="136">
        <f>(C283^2)+C295</f>
        <v>5.4063163268593374E-2</v>
      </c>
      <c r="H295" s="136">
        <f>C287+(C278/($B$7*G278))</f>
        <v>0.35209673241082218</v>
      </c>
    </row>
    <row r="296" spans="1:8" x14ac:dyDescent="0.3">
      <c r="A296" s="65"/>
      <c r="B296" s="65"/>
      <c r="C296" s="65"/>
      <c r="D296" s="65"/>
      <c r="E296" s="65"/>
      <c r="F296" s="65"/>
      <c r="G296" s="65"/>
      <c r="H296" s="65"/>
    </row>
    <row r="297" spans="1:8" x14ac:dyDescent="0.3">
      <c r="A297" s="65"/>
      <c r="B297" s="65"/>
      <c r="C297" s="65"/>
      <c r="D297" s="65"/>
      <c r="E297" s="65"/>
      <c r="F297" s="65"/>
      <c r="G297" s="65"/>
      <c r="H297" s="65"/>
    </row>
    <row r="298" spans="1:8" x14ac:dyDescent="0.3">
      <c r="A298" s="65"/>
      <c r="B298" s="65"/>
      <c r="C298" s="65"/>
      <c r="D298" s="65"/>
      <c r="E298" s="65"/>
      <c r="F298" s="65"/>
      <c r="G298" s="65"/>
      <c r="H298" s="65"/>
    </row>
    <row r="299" spans="1:8" x14ac:dyDescent="0.3">
      <c r="A299" s="140" t="s">
        <v>494</v>
      </c>
      <c r="B299" s="225" t="s">
        <v>357</v>
      </c>
      <c r="C299" s="226"/>
      <c r="D299" s="226"/>
      <c r="E299" s="226"/>
      <c r="F299" s="227"/>
      <c r="G299" s="141" t="s">
        <v>358</v>
      </c>
      <c r="H299" s="65"/>
    </row>
    <row r="300" spans="1:8" x14ac:dyDescent="0.3">
      <c r="A300" s="142" t="s">
        <v>226</v>
      </c>
      <c r="B300" s="83" t="s">
        <v>342</v>
      </c>
      <c r="C300" s="84" t="s">
        <v>343</v>
      </c>
      <c r="D300" s="84" t="s">
        <v>231</v>
      </c>
      <c r="E300" s="84" t="s">
        <v>232</v>
      </c>
      <c r="F300" s="85" t="s">
        <v>333</v>
      </c>
      <c r="G300" s="143" t="s">
        <v>342</v>
      </c>
      <c r="H300" s="65"/>
    </row>
    <row r="301" spans="1:8" x14ac:dyDescent="0.3">
      <c r="A301" s="65"/>
      <c r="B301" s="88">
        <f>'Valores de cálculo'!L19</f>
        <v>249.99998475000001</v>
      </c>
      <c r="C301" s="88">
        <f>'Valores de cálculo'!M19</f>
        <v>0</v>
      </c>
      <c r="D301" s="144">
        <f>'Valores de cálculo'!N19</f>
        <v>0</v>
      </c>
      <c r="E301" s="144">
        <f>'Valores de cálculo'!O19</f>
        <v>0</v>
      </c>
      <c r="F301" s="88">
        <f>'Valores de cálculo'!P19</f>
        <v>0</v>
      </c>
      <c r="G301" s="88">
        <f>'Valores de cálculo'!Q19</f>
        <v>0</v>
      </c>
      <c r="H301" s="65"/>
    </row>
    <row r="302" spans="1:8" x14ac:dyDescent="0.3">
      <c r="A302" s="65"/>
      <c r="B302" s="65"/>
      <c r="C302" s="65"/>
      <c r="D302" s="65"/>
      <c r="E302" s="65"/>
      <c r="F302" s="65"/>
      <c r="G302" s="65"/>
      <c r="H302" s="65"/>
    </row>
    <row r="303" spans="1:8" x14ac:dyDescent="0.3">
      <c r="A303" s="65"/>
      <c r="B303" s="226" t="s">
        <v>429</v>
      </c>
      <c r="C303" s="226"/>
      <c r="D303" s="65"/>
      <c r="E303" s="226" t="s">
        <v>432</v>
      </c>
      <c r="F303" s="226"/>
      <c r="G303" s="226"/>
      <c r="H303" s="65"/>
    </row>
    <row r="304" spans="1:8" ht="16.2" x14ac:dyDescent="0.35">
      <c r="A304" s="65"/>
      <c r="B304" s="145" t="s">
        <v>344</v>
      </c>
      <c r="C304" s="146">
        <f>'Valores de cálculo'!M19/('Valores de cálculo'!$G$3*'Valores de cálculo'!$G$4)*10^3</f>
        <v>0</v>
      </c>
      <c r="D304" s="65"/>
      <c r="E304" s="76" t="s">
        <v>435</v>
      </c>
      <c r="F304" s="145" t="s">
        <v>438</v>
      </c>
      <c r="G304" s="147">
        <f>'Valores de cálculo'!$F$30</f>
        <v>9.6223488344898715</v>
      </c>
      <c r="H304" s="65"/>
    </row>
    <row r="305" spans="1:20" ht="16.2" x14ac:dyDescent="0.35">
      <c r="A305" s="65"/>
      <c r="B305" s="145" t="s">
        <v>238</v>
      </c>
      <c r="C305" s="146">
        <f>'Valores de cálculo'!L19/('Valores de cálculo'!$G$3*'Valores de cálculo'!$G$4)*10^3</f>
        <v>3.1249998093750002</v>
      </c>
      <c r="D305" s="65"/>
      <c r="E305" s="76" t="s">
        <v>436</v>
      </c>
      <c r="F305" s="145" t="s">
        <v>439</v>
      </c>
      <c r="G305" s="147">
        <f>'Valores de cálculo'!$F$32</f>
        <v>13.44</v>
      </c>
      <c r="H305" s="65"/>
      <c r="L305" s="128"/>
      <c r="M305" s="128"/>
      <c r="N305" s="128"/>
      <c r="O305" s="128"/>
      <c r="P305" s="128"/>
      <c r="Q305" s="128"/>
      <c r="R305" s="128"/>
      <c r="S305" s="128"/>
      <c r="T305" s="52"/>
    </row>
    <row r="306" spans="1:20" ht="16.2" x14ac:dyDescent="0.35">
      <c r="A306" s="65"/>
      <c r="B306" s="145" t="s">
        <v>237</v>
      </c>
      <c r="C306" s="146">
        <f>'Valores de cálculo'!N19/('Valores de cálculo'!$G$3*('Valores de cálculo'!$G$4^2)/6)*10^6</f>
        <v>0</v>
      </c>
      <c r="D306" s="65"/>
      <c r="E306" s="241" t="s">
        <v>32</v>
      </c>
      <c r="F306" s="242" t="s">
        <v>437</v>
      </c>
      <c r="G306" s="65"/>
      <c r="H306" s="65"/>
      <c r="L306" s="52"/>
      <c r="M306" s="52"/>
      <c r="N306" s="52"/>
      <c r="O306" s="52"/>
      <c r="P306" s="52"/>
      <c r="Q306" s="52"/>
      <c r="R306" s="52"/>
      <c r="S306" s="52"/>
      <c r="T306" s="52"/>
    </row>
    <row r="307" spans="1:20" ht="16.2" x14ac:dyDescent="0.35">
      <c r="A307" s="65"/>
      <c r="B307" s="145" t="s">
        <v>236</v>
      </c>
      <c r="C307" s="146">
        <f>'Valores de cálculo'!N19/('Valores de cálculo'!$G$3*('Valores de cálculo'!$G$4^2)/6)*10^6</f>
        <v>0</v>
      </c>
      <c r="D307" s="65"/>
      <c r="E307" s="241"/>
      <c r="F307" s="242"/>
      <c r="G307" s="147">
        <f>'Valores de cálculo'!$F$29</f>
        <v>13.996143759257997</v>
      </c>
      <c r="H307" s="65"/>
      <c r="L307" s="52"/>
      <c r="M307" s="52"/>
      <c r="N307" s="52"/>
      <c r="O307" s="52"/>
      <c r="P307" s="52"/>
      <c r="Q307" s="52"/>
      <c r="R307" s="52"/>
      <c r="S307" s="52"/>
      <c r="T307" s="52"/>
    </row>
    <row r="308" spans="1:20" ht="16.2" x14ac:dyDescent="0.35">
      <c r="A308" s="65"/>
      <c r="B308" s="145" t="s">
        <v>239</v>
      </c>
      <c r="C308" s="146">
        <f>'Valores de cálculo'!O19/(('Valores de cálculo'!$G$4*('Valores de cálculo'!$G$3^2))/6)*(10^6)</f>
        <v>0</v>
      </c>
      <c r="D308" s="65"/>
      <c r="E308" s="241"/>
      <c r="F308" s="242"/>
      <c r="G308" s="153"/>
      <c r="H308" s="65"/>
      <c r="L308" s="52"/>
      <c r="M308" s="52"/>
      <c r="N308" s="52"/>
      <c r="O308" s="52"/>
      <c r="P308" s="52"/>
      <c r="Q308" s="52"/>
      <c r="R308" s="52"/>
      <c r="S308" s="52"/>
      <c r="T308" s="52"/>
    </row>
    <row r="309" spans="1:20" x14ac:dyDescent="0.3">
      <c r="A309" s="65"/>
      <c r="B309" s="76"/>
      <c r="C309" s="65"/>
      <c r="D309" s="65"/>
      <c r="E309" s="76"/>
      <c r="F309" s="145"/>
      <c r="G309" s="65"/>
      <c r="H309" s="65"/>
      <c r="L309" s="52"/>
      <c r="M309" s="52"/>
      <c r="N309" s="52"/>
      <c r="O309" s="52"/>
      <c r="P309" s="52"/>
      <c r="Q309" s="52"/>
      <c r="R309" s="52"/>
      <c r="S309" s="52"/>
      <c r="T309" s="52"/>
    </row>
    <row r="310" spans="1:20" ht="16.2" x14ac:dyDescent="0.35">
      <c r="A310" s="65"/>
      <c r="B310" s="145" t="s">
        <v>243</v>
      </c>
      <c r="C310" s="146">
        <f>1.5*('Valores de cálculo'!P19/($B$5*'Valores de cálculo'!$G$4))*(10^3)</f>
        <v>0</v>
      </c>
      <c r="D310" s="65"/>
      <c r="E310" s="76" t="s">
        <v>433</v>
      </c>
      <c r="F310" s="145" t="s">
        <v>446</v>
      </c>
      <c r="G310" s="147">
        <f>'Valores de cálculo'!$F$34</f>
        <v>1.512</v>
      </c>
      <c r="H310" s="65"/>
      <c r="L310" s="52"/>
      <c r="M310" s="52"/>
      <c r="N310" s="52"/>
      <c r="O310" s="52"/>
      <c r="P310" s="52"/>
      <c r="Q310" s="52"/>
      <c r="R310" s="52"/>
      <c r="S310" s="52"/>
      <c r="T310" s="52"/>
    </row>
    <row r="311" spans="1:20" x14ac:dyDescent="0.3">
      <c r="A311" s="65"/>
      <c r="B311" s="76"/>
      <c r="C311" s="65"/>
      <c r="D311" s="65"/>
      <c r="E311" s="76"/>
      <c r="F311" s="145"/>
      <c r="G311" s="65"/>
      <c r="H311" s="65"/>
      <c r="L311" s="52"/>
      <c r="M311" s="52"/>
      <c r="N311" s="52"/>
      <c r="O311" s="52"/>
      <c r="P311" s="52"/>
      <c r="Q311" s="52"/>
      <c r="R311" s="52"/>
      <c r="S311" s="52"/>
      <c r="T311" s="52"/>
    </row>
    <row r="312" spans="1:20" ht="16.2" x14ac:dyDescent="0.35">
      <c r="A312" s="65"/>
      <c r="B312" s="145" t="s">
        <v>345</v>
      </c>
      <c r="C312" s="146">
        <f>1.5*($J$3*(10^6))/('Valores de cálculo'!$G$3*'Valores de cálculo'!$G$4*$J$4)</f>
        <v>6.25E-2</v>
      </c>
      <c r="D312" s="65"/>
      <c r="E312" s="76" t="s">
        <v>434</v>
      </c>
      <c r="F312" s="145" t="s">
        <v>440</v>
      </c>
      <c r="G312" s="147">
        <f>'Valores de cálculo'!$F$31</f>
        <v>0.22399999999999998</v>
      </c>
      <c r="H312" s="65"/>
      <c r="L312" s="52"/>
      <c r="M312" s="52"/>
      <c r="N312" s="52"/>
      <c r="O312" s="52"/>
      <c r="P312" s="52"/>
      <c r="Q312" s="52"/>
      <c r="R312" s="52"/>
      <c r="S312" s="52"/>
      <c r="T312" s="52"/>
    </row>
    <row r="313" spans="1:20" ht="16.2" x14ac:dyDescent="0.35">
      <c r="A313" s="65"/>
      <c r="B313" s="145" t="s">
        <v>349</v>
      </c>
      <c r="C313" s="146">
        <f>('Valores de cálculo'!Q19*1000)/$D$5</f>
        <v>0</v>
      </c>
      <c r="D313" s="65"/>
      <c r="E313" s="76" t="s">
        <v>445</v>
      </c>
      <c r="F313" s="145" t="s">
        <v>441</v>
      </c>
      <c r="G313" s="147">
        <f>'Valores de cálculo'!$F$33</f>
        <v>1.512</v>
      </c>
      <c r="H313" s="65"/>
      <c r="L313" s="52"/>
      <c r="M313" s="52"/>
      <c r="N313" s="52"/>
      <c r="O313" s="52"/>
      <c r="P313" s="52"/>
      <c r="Q313" s="52"/>
      <c r="R313" s="52"/>
      <c r="S313" s="52"/>
      <c r="T313" s="52"/>
    </row>
    <row r="314" spans="1:20" x14ac:dyDescent="0.3">
      <c r="A314" s="65"/>
      <c r="B314" s="65"/>
      <c r="C314" s="65"/>
      <c r="D314" s="65"/>
      <c r="E314" s="65"/>
      <c r="F314" s="65"/>
      <c r="G314" s="65"/>
      <c r="H314" s="65"/>
    </row>
    <row r="315" spans="1:20" x14ac:dyDescent="0.3">
      <c r="A315" s="65"/>
      <c r="B315" s="226" t="s">
        <v>442</v>
      </c>
      <c r="C315" s="226"/>
      <c r="D315" s="226"/>
      <c r="E315" s="233" t="s">
        <v>454</v>
      </c>
      <c r="F315" s="233"/>
      <c r="G315" s="234"/>
      <c r="H315" s="65"/>
    </row>
    <row r="316" spans="1:20" x14ac:dyDescent="0.3">
      <c r="A316" s="65"/>
      <c r="B316" s="76" t="s">
        <v>435</v>
      </c>
      <c r="C316" s="136">
        <f>C304/G304</f>
        <v>0</v>
      </c>
      <c r="D316" s="148" t="str">
        <f>IF(C316&lt;1,"CUMPLE","NO CUMPLE")</f>
        <v>CUMPLE</v>
      </c>
      <c r="E316" s="235" t="s">
        <v>481</v>
      </c>
      <c r="F316" s="235"/>
      <c r="G316" s="231">
        <f>SUM(C316:C319)</f>
        <v>0.23251486676897323</v>
      </c>
      <c r="H316" s="230" t="str">
        <f>IF(G316&lt;1,"CUMPLE","NO CUMPLE")</f>
        <v>CUMPLE</v>
      </c>
    </row>
    <row r="317" spans="1:20" x14ac:dyDescent="0.3">
      <c r="A317" s="65"/>
      <c r="B317" s="76" t="s">
        <v>436</v>
      </c>
      <c r="C317" s="136">
        <f>C305/G305</f>
        <v>0.23251486676897323</v>
      </c>
      <c r="D317" s="148" t="str">
        <f t="shared" ref="D317:D324" si="12">IF(C317&lt;1,"CUMPLE","NO CUMPLE")</f>
        <v>CUMPLE</v>
      </c>
      <c r="E317" s="235"/>
      <c r="F317" s="235"/>
      <c r="G317" s="229"/>
      <c r="H317" s="230"/>
    </row>
    <row r="318" spans="1:20" x14ac:dyDescent="0.3">
      <c r="A318" s="65"/>
      <c r="B318" s="76" t="s">
        <v>443</v>
      </c>
      <c r="C318" s="136">
        <f>C306/G307</f>
        <v>0</v>
      </c>
      <c r="D318" s="148" t="str">
        <f t="shared" si="12"/>
        <v>CUMPLE</v>
      </c>
      <c r="E318" s="235"/>
      <c r="F318" s="235"/>
      <c r="G318" s="229"/>
      <c r="H318" s="230"/>
    </row>
    <row r="319" spans="1:20" x14ac:dyDescent="0.3">
      <c r="A319" s="65"/>
      <c r="B319" s="76" t="s">
        <v>444</v>
      </c>
      <c r="C319" s="136">
        <f>C308/G307</f>
        <v>0</v>
      </c>
      <c r="D319" s="148" t="str">
        <f t="shared" si="12"/>
        <v>CUMPLE</v>
      </c>
      <c r="E319" s="235"/>
      <c r="F319" s="235"/>
      <c r="G319" s="229"/>
      <c r="H319" s="230"/>
    </row>
    <row r="320" spans="1:20" x14ac:dyDescent="0.3">
      <c r="A320" s="65"/>
      <c r="B320" s="76"/>
      <c r="C320" s="136"/>
      <c r="D320" s="148"/>
      <c r="E320" s="76"/>
      <c r="F320" s="76"/>
      <c r="G320" s="149"/>
      <c r="H320" s="150"/>
    </row>
    <row r="321" spans="1:8" x14ac:dyDescent="0.3">
      <c r="A321" s="65"/>
      <c r="B321" s="76" t="s">
        <v>433</v>
      </c>
      <c r="C321" s="136">
        <f>C310/G310</f>
        <v>0</v>
      </c>
      <c r="D321" s="148" t="str">
        <f t="shared" si="12"/>
        <v>CUMPLE</v>
      </c>
      <c r="E321" s="243" t="s">
        <v>455</v>
      </c>
      <c r="F321" s="243"/>
      <c r="G321" s="151">
        <f>C321</f>
        <v>0</v>
      </c>
      <c r="H321" s="152" t="str">
        <f>IF(G321&lt;1,"CUMPLE","NO CUMPLE")</f>
        <v>CUMPLE</v>
      </c>
    </row>
    <row r="322" spans="1:8" x14ac:dyDescent="0.3">
      <c r="A322" s="65"/>
      <c r="B322" s="76"/>
      <c r="C322" s="136"/>
      <c r="D322" s="148"/>
      <c r="E322" s="76"/>
      <c r="F322" s="76"/>
      <c r="G322" s="149"/>
      <c r="H322" s="150"/>
    </row>
    <row r="323" spans="1:8" x14ac:dyDescent="0.3">
      <c r="A323" s="65"/>
      <c r="B323" s="76" t="s">
        <v>434</v>
      </c>
      <c r="C323" s="136">
        <f>C312/(1.4*G312)</f>
        <v>0.19929846938775514</v>
      </c>
      <c r="D323" s="148" t="str">
        <f t="shared" si="12"/>
        <v>CUMPLE</v>
      </c>
      <c r="E323" s="235" t="s">
        <v>456</v>
      </c>
      <c r="F323" s="235"/>
      <c r="G323" s="229">
        <f>SUM(C323:C324)</f>
        <v>0.19929846938775514</v>
      </c>
      <c r="H323" s="230" t="str">
        <f>IF(G323&lt;1,"CUMPLE","NO CUMPLE")</f>
        <v>CUMPLE</v>
      </c>
    </row>
    <row r="324" spans="1:8" x14ac:dyDescent="0.3">
      <c r="A324" s="65"/>
      <c r="B324" s="76" t="s">
        <v>445</v>
      </c>
      <c r="C324" s="136">
        <f>C313/G313</f>
        <v>0</v>
      </c>
      <c r="D324" s="148" t="str">
        <f t="shared" si="12"/>
        <v>CUMPLE</v>
      </c>
      <c r="E324" s="235"/>
      <c r="F324" s="235"/>
      <c r="G324" s="229"/>
      <c r="H324" s="230"/>
    </row>
    <row r="325" spans="1:8" x14ac:dyDescent="0.3">
      <c r="A325" s="65"/>
      <c r="B325" s="65"/>
      <c r="C325" s="65"/>
      <c r="D325" s="65"/>
      <c r="E325" s="65"/>
      <c r="F325" s="65"/>
      <c r="G325" s="65"/>
      <c r="H325" s="65"/>
    </row>
    <row r="326" spans="1:8" x14ac:dyDescent="0.3">
      <c r="A326" s="65"/>
      <c r="B326" s="226" t="s">
        <v>447</v>
      </c>
      <c r="C326" s="226"/>
      <c r="D326" s="226"/>
      <c r="E326" s="226"/>
      <c r="F326" s="226"/>
      <c r="G326" s="226"/>
      <c r="H326" s="226"/>
    </row>
    <row r="327" spans="1:8" x14ac:dyDescent="0.3">
      <c r="A327" s="65"/>
      <c r="B327" s="232" t="s">
        <v>448</v>
      </c>
      <c r="C327" s="232"/>
      <c r="D327" s="232" t="s">
        <v>450</v>
      </c>
      <c r="E327" s="232"/>
      <c r="F327" s="232" t="s">
        <v>449</v>
      </c>
      <c r="G327" s="232"/>
      <c r="H327" s="232" t="s">
        <v>453</v>
      </c>
    </row>
    <row r="328" spans="1:8" x14ac:dyDescent="0.3">
      <c r="A328" s="65"/>
      <c r="B328" s="84" t="s">
        <v>451</v>
      </c>
      <c r="C328" s="84" t="s">
        <v>452</v>
      </c>
      <c r="D328" s="84" t="s">
        <v>451</v>
      </c>
      <c r="E328" s="84" t="s">
        <v>452</v>
      </c>
      <c r="F328" s="84" t="s">
        <v>451</v>
      </c>
      <c r="G328" s="84" t="s">
        <v>452</v>
      </c>
      <c r="H328" s="232"/>
    </row>
    <row r="329" spans="1:8" x14ac:dyDescent="0.3">
      <c r="A329" s="65"/>
      <c r="B329" s="136">
        <f>C318+$B$3*C319</f>
        <v>0</v>
      </c>
      <c r="C329" s="136">
        <f>$B$3*C318+C319</f>
        <v>0</v>
      </c>
      <c r="D329" s="136">
        <f>C316+B329</f>
        <v>0</v>
      </c>
      <c r="E329" s="136">
        <f>C316+C329</f>
        <v>0</v>
      </c>
      <c r="F329" s="136">
        <f>(C317^2)+B329</f>
        <v>5.4063163268593374E-2</v>
      </c>
      <c r="G329" s="136">
        <f>(C317^2)+C329</f>
        <v>5.4063163268593374E-2</v>
      </c>
      <c r="H329" s="136">
        <f>C321+(C312/($B$7*G312))</f>
        <v>0.35209673241082218</v>
      </c>
    </row>
  </sheetData>
  <sheetProtection algorithmName="SHA-512" hashValue="kC3m2IKBC0hg4kHTFHGDTVMUeQxuwiKBl8OvIy5xfBgZoiYhyslj9NMOurxHZJL2egShxWceuL/fHRwZeWhXRA==" saltValue="FiKqWZhg3qExs4u95IDgyQ==" spinCount="100000" sheet="1" objects="1" scenarios="1"/>
  <mergeCells count="184">
    <mergeCell ref="E113:F113"/>
    <mergeCell ref="E115:F116"/>
    <mergeCell ref="G115:G116"/>
    <mergeCell ref="H115:H116"/>
    <mergeCell ref="B118:H118"/>
    <mergeCell ref="B119:C119"/>
    <mergeCell ref="D119:E119"/>
    <mergeCell ref="F119:G119"/>
    <mergeCell ref="H119:H120"/>
    <mergeCell ref="B95:C95"/>
    <mergeCell ref="E95:G95"/>
    <mergeCell ref="E98:E100"/>
    <mergeCell ref="F98:F100"/>
    <mergeCell ref="B107:D107"/>
    <mergeCell ref="E107:G107"/>
    <mergeCell ref="E108:F111"/>
    <mergeCell ref="G108:G111"/>
    <mergeCell ref="H108:H111"/>
    <mergeCell ref="E218:F218"/>
    <mergeCell ref="E220:F221"/>
    <mergeCell ref="B196:F196"/>
    <mergeCell ref="B200:C200"/>
    <mergeCell ref="E200:G200"/>
    <mergeCell ref="E203:E205"/>
    <mergeCell ref="F203:F205"/>
    <mergeCell ref="B187:H187"/>
    <mergeCell ref="B188:C188"/>
    <mergeCell ref="D188:E188"/>
    <mergeCell ref="F188:G188"/>
    <mergeCell ref="H188:H189"/>
    <mergeCell ref="B176:D176"/>
    <mergeCell ref="E176:G176"/>
    <mergeCell ref="E177:F180"/>
    <mergeCell ref="E182:F182"/>
    <mergeCell ref="E184:F185"/>
    <mergeCell ref="B160:F160"/>
    <mergeCell ref="B164:C164"/>
    <mergeCell ref="E164:G164"/>
    <mergeCell ref="E167:E169"/>
    <mergeCell ref="F167:F169"/>
    <mergeCell ref="E142:F145"/>
    <mergeCell ref="E147:F147"/>
    <mergeCell ref="E149:F150"/>
    <mergeCell ref="B152:H152"/>
    <mergeCell ref="B153:C153"/>
    <mergeCell ref="D153:E153"/>
    <mergeCell ref="F153:G153"/>
    <mergeCell ref="H153:H154"/>
    <mergeCell ref="B129:C129"/>
    <mergeCell ref="E129:G129"/>
    <mergeCell ref="E132:E134"/>
    <mergeCell ref="F132:F134"/>
    <mergeCell ref="B141:D141"/>
    <mergeCell ref="E141:G141"/>
    <mergeCell ref="D86:E86"/>
    <mergeCell ref="F86:G86"/>
    <mergeCell ref="H86:H87"/>
    <mergeCell ref="B125:F125"/>
    <mergeCell ref="E80:F80"/>
    <mergeCell ref="E82:F83"/>
    <mergeCell ref="B85:H85"/>
    <mergeCell ref="B74:D74"/>
    <mergeCell ref="E74:G74"/>
    <mergeCell ref="E75:F78"/>
    <mergeCell ref="B91:F91"/>
    <mergeCell ref="AU233:AV233"/>
    <mergeCell ref="AW233:AX233"/>
    <mergeCell ref="AY233:AZ233"/>
    <mergeCell ref="E27:G27"/>
    <mergeCell ref="E65:E67"/>
    <mergeCell ref="F65:F67"/>
    <mergeCell ref="K30:O30"/>
    <mergeCell ref="K18:O18"/>
    <mergeCell ref="K20:O20"/>
    <mergeCell ref="K25:O25"/>
    <mergeCell ref="B23:F23"/>
    <mergeCell ref="B27:C27"/>
    <mergeCell ref="B58:F58"/>
    <mergeCell ref="B62:C62"/>
    <mergeCell ref="E62:G62"/>
    <mergeCell ref="E40:F43"/>
    <mergeCell ref="G40:G43"/>
    <mergeCell ref="G47:G48"/>
    <mergeCell ref="B51:C51"/>
    <mergeCell ref="D51:E51"/>
    <mergeCell ref="F51:G51"/>
    <mergeCell ref="B50:H50"/>
    <mergeCell ref="H51:H52"/>
    <mergeCell ref="B86:C86"/>
    <mergeCell ref="B39:D39"/>
    <mergeCell ref="E30:E32"/>
    <mergeCell ref="F30:F32"/>
    <mergeCell ref="G30:G32"/>
    <mergeCell ref="E39:G39"/>
    <mergeCell ref="E45:F45"/>
    <mergeCell ref="E47:F48"/>
    <mergeCell ref="H40:H43"/>
    <mergeCell ref="H47:H48"/>
    <mergeCell ref="B230:F230"/>
    <mergeCell ref="B234:C234"/>
    <mergeCell ref="E234:G234"/>
    <mergeCell ref="E237:E239"/>
    <mergeCell ref="F237:F239"/>
    <mergeCell ref="B246:D246"/>
    <mergeCell ref="E246:G246"/>
    <mergeCell ref="E247:F250"/>
    <mergeCell ref="E252:F252"/>
    <mergeCell ref="G247:G250"/>
    <mergeCell ref="E254:F255"/>
    <mergeCell ref="B257:H257"/>
    <mergeCell ref="B258:C258"/>
    <mergeCell ref="D258:E258"/>
    <mergeCell ref="F258:G258"/>
    <mergeCell ref="H258:H259"/>
    <mergeCell ref="B265:F265"/>
    <mergeCell ref="B269:C269"/>
    <mergeCell ref="E269:G269"/>
    <mergeCell ref="E303:G303"/>
    <mergeCell ref="E306:E308"/>
    <mergeCell ref="F306:F308"/>
    <mergeCell ref="B315:D315"/>
    <mergeCell ref="E315:G315"/>
    <mergeCell ref="E316:F319"/>
    <mergeCell ref="E321:F321"/>
    <mergeCell ref="E272:E274"/>
    <mergeCell ref="F272:F274"/>
    <mergeCell ref="B281:D281"/>
    <mergeCell ref="E281:G281"/>
    <mergeCell ref="E282:F285"/>
    <mergeCell ref="E287:F287"/>
    <mergeCell ref="E289:F290"/>
    <mergeCell ref="B292:H292"/>
    <mergeCell ref="B293:C293"/>
    <mergeCell ref="D293:E293"/>
    <mergeCell ref="F293:G293"/>
    <mergeCell ref="H293:H294"/>
    <mergeCell ref="E212:G212"/>
    <mergeCell ref="E213:F216"/>
    <mergeCell ref="E323:F324"/>
    <mergeCell ref="B326:H326"/>
    <mergeCell ref="B327:C327"/>
    <mergeCell ref="D327:E327"/>
    <mergeCell ref="F327:G327"/>
    <mergeCell ref="H327:H328"/>
    <mergeCell ref="A2:B2"/>
    <mergeCell ref="I2:J2"/>
    <mergeCell ref="C2:D2"/>
    <mergeCell ref="G82:G83"/>
    <mergeCell ref="H82:H83"/>
    <mergeCell ref="G142:G145"/>
    <mergeCell ref="H142:H145"/>
    <mergeCell ref="G149:G150"/>
    <mergeCell ref="H149:H150"/>
    <mergeCell ref="G177:G180"/>
    <mergeCell ref="H177:H180"/>
    <mergeCell ref="G184:G185"/>
    <mergeCell ref="H184:H185"/>
    <mergeCell ref="G213:G216"/>
    <mergeCell ref="B299:F299"/>
    <mergeCell ref="B303:C303"/>
    <mergeCell ref="I9:J10"/>
    <mergeCell ref="B9:D10"/>
    <mergeCell ref="G323:G324"/>
    <mergeCell ref="H323:H324"/>
    <mergeCell ref="G75:G78"/>
    <mergeCell ref="H75:H78"/>
    <mergeCell ref="H247:H250"/>
    <mergeCell ref="G254:G255"/>
    <mergeCell ref="H254:H255"/>
    <mergeCell ref="G282:G285"/>
    <mergeCell ref="G289:G290"/>
    <mergeCell ref="H282:H285"/>
    <mergeCell ref="H289:H290"/>
    <mergeCell ref="G316:G319"/>
    <mergeCell ref="H316:H319"/>
    <mergeCell ref="H213:H216"/>
    <mergeCell ref="G220:G221"/>
    <mergeCell ref="H220:H221"/>
    <mergeCell ref="B223:H223"/>
    <mergeCell ref="B224:C224"/>
    <mergeCell ref="D224:E224"/>
    <mergeCell ref="F224:G224"/>
    <mergeCell ref="H224:H225"/>
    <mergeCell ref="B212:D212"/>
  </mergeCells>
  <phoneticPr fontId="2" type="noConversion"/>
  <dataValidations disablePrompts="1" count="1">
    <dataValidation type="list" allowBlank="1" showInputMessage="1" showErrorMessage="1" sqref="D3" xr:uid="{3ED09B30-5B2A-4A6C-AAAD-1C9A09EA2BBB}">
      <formula1>$E$3:$E$6</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8B6D2-A5B5-4414-818C-A6D6A7D077C1}">
  <dimension ref="A2:K152"/>
  <sheetViews>
    <sheetView zoomScaleNormal="100" workbookViewId="0">
      <selection activeCell="A12" sqref="A12:A13"/>
    </sheetView>
  </sheetViews>
  <sheetFormatPr baseColWidth="10" defaultRowHeight="14.4" x14ac:dyDescent="0.3"/>
  <cols>
    <col min="1" max="1" width="27.88671875" style="47" customWidth="1"/>
    <col min="2" max="2" width="14.44140625" style="47" customWidth="1"/>
    <col min="3" max="3" width="21.109375" style="47" customWidth="1"/>
    <col min="4" max="4" width="11.5546875" style="47"/>
    <col min="5" max="5" width="15" style="47" customWidth="1"/>
    <col min="6" max="6" width="22.44140625" style="47" customWidth="1"/>
    <col min="7" max="7" width="11.5546875" style="47"/>
    <col min="8" max="8" width="13.109375" style="47" customWidth="1"/>
    <col min="9" max="9" width="46.6640625" style="47" customWidth="1"/>
    <col min="10" max="16384" width="11.5546875" style="47"/>
  </cols>
  <sheetData>
    <row r="2" spans="1:11" x14ac:dyDescent="0.3">
      <c r="A2" s="169" t="s">
        <v>410</v>
      </c>
      <c r="B2" s="154">
        <v>77850</v>
      </c>
      <c r="E2" s="50" t="s">
        <v>425</v>
      </c>
      <c r="F2" s="50" t="s">
        <v>426</v>
      </c>
    </row>
    <row r="3" spans="1:11" ht="14.4" customHeight="1" x14ac:dyDescent="0.3">
      <c r="A3" s="169" t="s">
        <v>411</v>
      </c>
      <c r="B3" s="154"/>
      <c r="C3" s="63"/>
      <c r="D3" s="63"/>
      <c r="E3" s="63"/>
      <c r="F3" s="63"/>
      <c r="G3" s="251" t="s">
        <v>485</v>
      </c>
      <c r="H3" s="251"/>
      <c r="I3" s="63"/>
      <c r="J3" s="63"/>
      <c r="K3" s="63"/>
    </row>
    <row r="4" spans="1:11" x14ac:dyDescent="0.3">
      <c r="A4" s="169" t="s">
        <v>370</v>
      </c>
      <c r="B4" s="170" t="str">
        <f>'Valores de cálculo'!C2</f>
        <v>GLh24, CLASE 3</v>
      </c>
      <c r="C4" s="63"/>
      <c r="D4" s="63"/>
      <c r="E4" s="63"/>
      <c r="F4" s="63"/>
      <c r="G4" s="251"/>
      <c r="H4" s="251"/>
      <c r="I4" s="63"/>
      <c r="J4" s="63"/>
      <c r="K4" s="63"/>
    </row>
    <row r="5" spans="1:11" x14ac:dyDescent="0.3">
      <c r="A5" s="169" t="s">
        <v>371</v>
      </c>
      <c r="B5" s="155" t="s">
        <v>226</v>
      </c>
      <c r="C5" s="63"/>
      <c r="D5" s="63"/>
      <c r="E5" s="63"/>
      <c r="F5" s="63"/>
      <c r="G5" s="251"/>
      <c r="H5" s="251"/>
      <c r="I5" s="63"/>
      <c r="J5" s="63"/>
      <c r="K5" s="63"/>
    </row>
    <row r="6" spans="1:11" x14ac:dyDescent="0.3">
      <c r="A6" s="65"/>
      <c r="G6" s="251"/>
      <c r="H6" s="251"/>
    </row>
    <row r="7" spans="1:11" x14ac:dyDescent="0.3">
      <c r="A7" s="76" t="s">
        <v>222</v>
      </c>
      <c r="B7" s="78">
        <f>HLOOKUP(B5,'Valores de cálculo'!C21:G22,2,FALSE)</f>
        <v>0.7</v>
      </c>
      <c r="G7" s="251"/>
      <c r="H7" s="251"/>
    </row>
    <row r="8" spans="1:11" x14ac:dyDescent="0.3">
      <c r="A8" s="75" t="s">
        <v>125</v>
      </c>
      <c r="B8" s="78">
        <f>'Valores de cálculo'!C20</f>
        <v>1.25</v>
      </c>
      <c r="C8" s="63"/>
      <c r="D8" s="63"/>
      <c r="E8" s="63"/>
      <c r="F8" s="63"/>
      <c r="G8" s="251"/>
      <c r="H8" s="251"/>
      <c r="I8" s="63"/>
      <c r="J8" s="63"/>
      <c r="K8" s="63"/>
    </row>
    <row r="9" spans="1:11" x14ac:dyDescent="0.3">
      <c r="A9" s="63"/>
      <c r="B9" s="63"/>
      <c r="C9" s="63"/>
      <c r="D9" s="63"/>
      <c r="E9" s="63"/>
      <c r="F9" s="63"/>
      <c r="G9" s="63"/>
      <c r="H9" s="63"/>
      <c r="I9" s="63"/>
      <c r="J9" s="63"/>
      <c r="K9" s="63"/>
    </row>
    <row r="10" spans="1:11" x14ac:dyDescent="0.3">
      <c r="A10" s="255" t="s">
        <v>376</v>
      </c>
      <c r="B10" s="255"/>
      <c r="C10" s="255"/>
      <c r="D10" s="63"/>
      <c r="E10" s="63"/>
      <c r="F10" s="63"/>
      <c r="G10" s="63"/>
      <c r="H10" s="63"/>
      <c r="I10" s="63"/>
      <c r="J10" s="63"/>
      <c r="K10" s="63"/>
    </row>
    <row r="11" spans="1:11" x14ac:dyDescent="0.3">
      <c r="A11" s="63"/>
      <c r="B11" s="63"/>
      <c r="C11" s="63"/>
      <c r="D11" s="63"/>
      <c r="E11" s="63"/>
      <c r="F11" s="63"/>
      <c r="G11" s="251" t="s">
        <v>486</v>
      </c>
      <c r="H11" s="252"/>
      <c r="I11" s="63"/>
      <c r="J11" s="63"/>
      <c r="K11" s="63"/>
    </row>
    <row r="12" spans="1:11" x14ac:dyDescent="0.3">
      <c r="A12" s="254" t="s">
        <v>273</v>
      </c>
      <c r="B12" s="78" t="s">
        <v>265</v>
      </c>
      <c r="C12" s="53">
        <v>10</v>
      </c>
      <c r="D12" s="63"/>
      <c r="E12" s="63"/>
      <c r="F12" s="63"/>
      <c r="G12" s="252"/>
      <c r="H12" s="252"/>
      <c r="I12" s="63"/>
      <c r="J12" s="63"/>
      <c r="K12" s="63"/>
    </row>
    <row r="13" spans="1:11" x14ac:dyDescent="0.3">
      <c r="A13" s="254"/>
      <c r="B13" s="78" t="s">
        <v>266</v>
      </c>
      <c r="C13" s="53">
        <v>180</v>
      </c>
      <c r="D13" s="63"/>
      <c r="E13" s="63"/>
      <c r="F13" s="63"/>
      <c r="G13" s="252"/>
      <c r="H13" s="252"/>
      <c r="I13" s="63"/>
      <c r="J13" s="63"/>
      <c r="K13" s="63"/>
    </row>
    <row r="14" spans="1:11" x14ac:dyDescent="0.3">
      <c r="A14" s="63"/>
      <c r="B14" s="78"/>
      <c r="C14" s="63"/>
      <c r="D14" s="63"/>
      <c r="E14" s="63"/>
      <c r="F14" s="63"/>
      <c r="G14" s="252"/>
      <c r="H14" s="252"/>
      <c r="I14" s="63"/>
      <c r="J14" s="63"/>
      <c r="K14" s="63"/>
    </row>
    <row r="15" spans="1:11" x14ac:dyDescent="0.3">
      <c r="A15" s="254" t="s">
        <v>274</v>
      </c>
      <c r="B15" s="78" t="s">
        <v>267</v>
      </c>
      <c r="C15" s="53">
        <v>8</v>
      </c>
      <c r="D15" s="63"/>
      <c r="E15" s="63"/>
      <c r="F15" s="63"/>
      <c r="G15" s="252"/>
      <c r="H15" s="252"/>
      <c r="I15" s="63"/>
      <c r="J15" s="63"/>
      <c r="K15" s="63"/>
    </row>
    <row r="16" spans="1:11" x14ac:dyDescent="0.3">
      <c r="A16" s="254"/>
      <c r="B16" s="78" t="s">
        <v>264</v>
      </c>
      <c r="C16" s="156">
        <v>600</v>
      </c>
      <c r="D16" s="63"/>
      <c r="E16" s="63"/>
      <c r="F16" s="63"/>
      <c r="G16" s="63"/>
      <c r="H16" s="63"/>
      <c r="I16" s="63"/>
      <c r="J16" s="63"/>
      <c r="K16" s="63"/>
    </row>
    <row r="17" spans="1:11" x14ac:dyDescent="0.3">
      <c r="A17" s="254"/>
      <c r="B17" s="78" t="s">
        <v>285</v>
      </c>
      <c r="C17" s="53">
        <v>100</v>
      </c>
      <c r="D17" s="63"/>
      <c r="E17" s="63"/>
      <c r="F17" s="63"/>
      <c r="G17" s="63"/>
      <c r="H17" s="63"/>
      <c r="I17" s="63"/>
      <c r="J17" s="63"/>
      <c r="K17" s="63"/>
    </row>
    <row r="18" spans="1:11" x14ac:dyDescent="0.3">
      <c r="A18" s="254"/>
      <c r="B18" s="78" t="s">
        <v>384</v>
      </c>
      <c r="C18" s="53">
        <v>400</v>
      </c>
      <c r="D18" s="63"/>
      <c r="E18" s="63"/>
      <c r="F18" s="63"/>
      <c r="G18" s="251" t="s">
        <v>487</v>
      </c>
      <c r="H18" s="252"/>
      <c r="I18" s="63"/>
      <c r="J18" s="63"/>
      <c r="K18" s="63"/>
    </row>
    <row r="19" spans="1:11" x14ac:dyDescent="0.3">
      <c r="A19" s="254"/>
      <c r="B19" s="78" t="s">
        <v>360</v>
      </c>
      <c r="C19" s="53">
        <v>120</v>
      </c>
      <c r="D19" s="63"/>
      <c r="E19" s="63"/>
      <c r="F19" s="63"/>
      <c r="G19" s="252"/>
      <c r="H19" s="252"/>
      <c r="I19" s="63"/>
      <c r="J19" s="63"/>
      <c r="K19" s="63"/>
    </row>
    <row r="20" spans="1:11" x14ac:dyDescent="0.3">
      <c r="A20" s="254"/>
      <c r="B20" s="78" t="s">
        <v>368</v>
      </c>
      <c r="C20" s="157">
        <v>3</v>
      </c>
      <c r="D20" s="63"/>
      <c r="E20" s="63"/>
      <c r="F20" s="63"/>
      <c r="G20" s="252"/>
      <c r="H20" s="252"/>
      <c r="I20" s="63"/>
      <c r="J20" s="63"/>
      <c r="K20" s="63"/>
    </row>
    <row r="21" spans="1:11" x14ac:dyDescent="0.3">
      <c r="A21" s="254"/>
      <c r="B21" s="78" t="s">
        <v>369</v>
      </c>
      <c r="C21" s="157">
        <v>3</v>
      </c>
      <c r="D21" s="63"/>
      <c r="E21" s="63"/>
      <c r="F21" s="63"/>
      <c r="G21" s="252"/>
      <c r="H21" s="252"/>
      <c r="I21" s="63"/>
      <c r="J21" s="63"/>
      <c r="K21" s="63"/>
    </row>
    <row r="22" spans="1:11" x14ac:dyDescent="0.3">
      <c r="B22" s="65"/>
      <c r="D22" s="63"/>
      <c r="E22" s="63"/>
      <c r="F22" s="63"/>
      <c r="G22" s="252"/>
      <c r="H22" s="252"/>
      <c r="I22" s="63"/>
      <c r="J22" s="63"/>
      <c r="K22" s="63"/>
    </row>
    <row r="23" spans="1:11" x14ac:dyDescent="0.3">
      <c r="A23" s="171" t="s">
        <v>275</v>
      </c>
      <c r="B23" s="78" t="s">
        <v>272</v>
      </c>
      <c r="C23" s="158">
        <v>500</v>
      </c>
      <c r="J23" s="63"/>
      <c r="K23" s="63"/>
    </row>
    <row r="24" spans="1:11" x14ac:dyDescent="0.3">
      <c r="B24" s="65"/>
      <c r="J24" s="63"/>
      <c r="K24" s="63"/>
    </row>
    <row r="25" spans="1:11" ht="15" thickBot="1" x14ac:dyDescent="0.35">
      <c r="A25" s="253" t="s">
        <v>268</v>
      </c>
      <c r="B25" s="253"/>
      <c r="C25" s="63"/>
      <c r="D25" s="253" t="s">
        <v>269</v>
      </c>
      <c r="E25" s="253"/>
      <c r="F25" s="63"/>
      <c r="G25" s="253" t="s">
        <v>252</v>
      </c>
      <c r="H25" s="253"/>
      <c r="I25" s="63"/>
      <c r="J25" s="63"/>
      <c r="K25" s="63"/>
    </row>
    <row r="26" spans="1:11" ht="15" thickBot="1" x14ac:dyDescent="0.35">
      <c r="A26" s="78" t="s">
        <v>286</v>
      </c>
      <c r="B26" s="63"/>
      <c r="C26" s="159" t="s">
        <v>244</v>
      </c>
      <c r="D26" s="78" t="s">
        <v>286</v>
      </c>
      <c r="E26" s="63"/>
      <c r="F26" s="159" t="s">
        <v>251</v>
      </c>
      <c r="G26" s="78" t="s">
        <v>286</v>
      </c>
      <c r="H26" s="63"/>
      <c r="I26" s="159" t="s">
        <v>314</v>
      </c>
      <c r="J26" s="63"/>
      <c r="K26" s="63"/>
    </row>
    <row r="27" spans="1:11" ht="15" thickBot="1" x14ac:dyDescent="0.35">
      <c r="A27" s="78" t="s">
        <v>287</v>
      </c>
      <c r="B27" s="63"/>
      <c r="C27" s="160" t="s">
        <v>354</v>
      </c>
      <c r="D27" s="78" t="s">
        <v>288</v>
      </c>
      <c r="E27" s="63"/>
      <c r="F27" s="160" t="s">
        <v>318</v>
      </c>
      <c r="G27" s="63"/>
      <c r="H27" s="63"/>
      <c r="I27" s="63"/>
      <c r="J27" s="63"/>
      <c r="K27" s="63"/>
    </row>
    <row r="28" spans="1:11" x14ac:dyDescent="0.3">
      <c r="A28" s="78"/>
      <c r="B28" s="63"/>
      <c r="C28" s="63"/>
      <c r="D28" s="78"/>
      <c r="E28" s="63"/>
      <c r="F28" s="63"/>
      <c r="G28" s="63"/>
      <c r="H28" s="63"/>
      <c r="I28" s="63"/>
      <c r="J28" s="63"/>
      <c r="K28" s="63"/>
    </row>
    <row r="29" spans="1:11" x14ac:dyDescent="0.3">
      <c r="A29" s="78" t="s">
        <v>289</v>
      </c>
      <c r="B29" s="78"/>
      <c r="C29" s="176">
        <f>$B$7*('Valores c. de las uniones'!N4/$B$8)</f>
        <v>11558.615040000001</v>
      </c>
      <c r="D29" s="78" t="s">
        <v>289</v>
      </c>
      <c r="E29" s="78"/>
      <c r="F29" s="176">
        <f>$B$7*('Valores c. de las uniones'!N14/$B$8)</f>
        <v>23767.648305204835</v>
      </c>
      <c r="G29" s="78" t="s">
        <v>289</v>
      </c>
      <c r="H29" s="78"/>
      <c r="I29" s="176">
        <f>$B$7*('Valores c. de las uniones'!N25/$B$8)</f>
        <v>23117.230080000001</v>
      </c>
      <c r="J29" s="63"/>
      <c r="K29" s="63"/>
    </row>
    <row r="30" spans="1:11" x14ac:dyDescent="0.3">
      <c r="A30" s="78" t="s">
        <v>290</v>
      </c>
      <c r="B30" s="78"/>
      <c r="C30" s="176">
        <f>'Valores c. de las uniones'!AD4*'Valores c. de las uniones'!U23</f>
        <v>6931.2000000000007</v>
      </c>
      <c r="D30" s="78" t="s">
        <v>290</v>
      </c>
      <c r="E30" s="78"/>
      <c r="F30" s="176">
        <f>'Valores c. de las uniones'!AD4*'Valores c. de las uniones'!U23</f>
        <v>6931.2000000000007</v>
      </c>
      <c r="G30" s="78" t="s">
        <v>290</v>
      </c>
      <c r="H30" s="78"/>
      <c r="I30" s="176">
        <f>'Valores c. de las uniones'!AD4*'Valores c. de las uniones'!U23</f>
        <v>6931.2000000000007</v>
      </c>
      <c r="J30" s="63"/>
      <c r="K30" s="63"/>
    </row>
    <row r="31" spans="1:11" x14ac:dyDescent="0.3">
      <c r="A31" s="78" t="s">
        <v>375</v>
      </c>
      <c r="B31" s="78"/>
      <c r="C31" s="78">
        <f>($B$2/C29)+($B$3/C30)</f>
        <v>6.7352359889649893</v>
      </c>
      <c r="D31" s="78" t="s">
        <v>375</v>
      </c>
      <c r="E31" s="78"/>
      <c r="F31" s="78">
        <f t="shared" ref="F31:I31" si="0">($B$2/F29)+($B$3/F30)</f>
        <v>3.2754607860362763</v>
      </c>
      <c r="G31" s="78" t="s">
        <v>375</v>
      </c>
      <c r="H31" s="78"/>
      <c r="I31" s="78">
        <f t="shared" si="0"/>
        <v>3.3676179944824947</v>
      </c>
      <c r="J31" s="63"/>
      <c r="K31" s="63"/>
    </row>
    <row r="32" spans="1:11" x14ac:dyDescent="0.3">
      <c r="A32" s="78" t="s">
        <v>386</v>
      </c>
      <c r="B32" s="78"/>
      <c r="C32" s="176">
        <f>'Valores c. de las uniones'!AJ10*'Comprobación uniones'!C20*'Comprobación uniones'!C21</f>
        <v>81427.680000000008</v>
      </c>
      <c r="D32" s="78" t="s">
        <v>386</v>
      </c>
      <c r="E32" s="78"/>
      <c r="F32" s="176">
        <f>C20*C21*'Valores c. de las uniones'!AJ16</f>
        <v>162855.36000000002</v>
      </c>
      <c r="G32" s="78" t="s">
        <v>386</v>
      </c>
      <c r="H32" s="78"/>
      <c r="I32" s="176">
        <f>C20*C21*'Valores c. de las uniones'!AJ24</f>
        <v>162855.36000000002</v>
      </c>
      <c r="J32" s="63"/>
      <c r="K32" s="63"/>
    </row>
    <row r="33" spans="1:11" x14ac:dyDescent="0.3">
      <c r="A33" s="63"/>
      <c r="B33" s="63"/>
      <c r="C33" s="63"/>
      <c r="D33" s="63"/>
      <c r="E33" s="63"/>
      <c r="F33" s="63"/>
      <c r="G33" s="63"/>
      <c r="H33" s="63"/>
      <c r="I33" s="63"/>
      <c r="J33" s="63"/>
      <c r="K33" s="63"/>
    </row>
    <row r="34" spans="1:11" x14ac:dyDescent="0.3">
      <c r="A34" s="63"/>
      <c r="B34" s="63"/>
      <c r="C34" s="63"/>
      <c r="D34" s="63"/>
      <c r="E34" s="63"/>
      <c r="F34" s="63"/>
      <c r="G34" s="63"/>
      <c r="H34" s="63"/>
      <c r="I34" s="63"/>
      <c r="J34" s="63"/>
      <c r="K34" s="63"/>
    </row>
    <row r="35" spans="1:11" x14ac:dyDescent="0.3">
      <c r="A35" s="255" t="s">
        <v>295</v>
      </c>
      <c r="B35" s="255"/>
      <c r="C35" s="255"/>
      <c r="D35" s="63"/>
      <c r="E35" s="63"/>
      <c r="F35" s="63"/>
      <c r="G35" s="63"/>
      <c r="H35" s="63"/>
      <c r="I35" s="63"/>
      <c r="J35" s="63"/>
      <c r="K35" s="63"/>
    </row>
    <row r="36" spans="1:11" x14ac:dyDescent="0.3">
      <c r="A36" s="63"/>
      <c r="B36" s="63"/>
      <c r="C36" s="63"/>
      <c r="D36" s="63"/>
      <c r="E36" s="63"/>
      <c r="F36" s="63"/>
      <c r="G36" s="251" t="s">
        <v>488</v>
      </c>
      <c r="H36" s="252"/>
      <c r="I36" s="63"/>
      <c r="J36" s="63"/>
      <c r="K36" s="63"/>
    </row>
    <row r="37" spans="1:11" x14ac:dyDescent="0.3">
      <c r="A37" s="254" t="s">
        <v>273</v>
      </c>
      <c r="B37" s="78" t="s">
        <v>265</v>
      </c>
      <c r="C37" s="53">
        <v>100</v>
      </c>
      <c r="D37" s="63"/>
      <c r="E37" s="63"/>
      <c r="F37" s="63"/>
      <c r="G37" s="252"/>
      <c r="H37" s="252"/>
      <c r="I37" s="63"/>
      <c r="J37" s="63"/>
      <c r="K37" s="63"/>
    </row>
    <row r="38" spans="1:11" x14ac:dyDescent="0.3">
      <c r="A38" s="254"/>
      <c r="B38" s="78" t="s">
        <v>266</v>
      </c>
      <c r="C38" s="53">
        <v>300</v>
      </c>
      <c r="D38" s="63"/>
      <c r="E38" s="63"/>
      <c r="F38" s="63"/>
      <c r="G38" s="252"/>
      <c r="H38" s="252"/>
      <c r="I38" s="63"/>
      <c r="J38" s="63"/>
      <c r="K38" s="63"/>
    </row>
    <row r="39" spans="1:11" x14ac:dyDescent="0.3">
      <c r="A39" s="78"/>
      <c r="B39" s="78"/>
      <c r="C39" s="63"/>
      <c r="D39" s="63"/>
      <c r="E39" s="63"/>
      <c r="F39" s="63"/>
      <c r="G39" s="252"/>
      <c r="H39" s="252"/>
      <c r="I39" s="63"/>
      <c r="J39" s="63"/>
      <c r="K39" s="63"/>
    </row>
    <row r="40" spans="1:11" x14ac:dyDescent="0.3">
      <c r="A40" s="254" t="s">
        <v>296</v>
      </c>
      <c r="B40" s="78" t="s">
        <v>267</v>
      </c>
      <c r="C40" s="161">
        <v>2</v>
      </c>
      <c r="D40" s="63"/>
      <c r="E40" s="63"/>
      <c r="F40" s="63"/>
      <c r="G40" s="252"/>
      <c r="H40" s="252"/>
      <c r="I40" s="63"/>
      <c r="J40" s="63"/>
      <c r="K40" s="63"/>
    </row>
    <row r="41" spans="1:11" x14ac:dyDescent="0.3">
      <c r="A41" s="254"/>
      <c r="B41" s="78" t="s">
        <v>264</v>
      </c>
      <c r="C41" s="156">
        <v>800</v>
      </c>
      <c r="D41" s="63"/>
      <c r="E41" s="63"/>
      <c r="F41" s="63"/>
      <c r="G41" s="63"/>
      <c r="H41" s="63"/>
      <c r="I41" s="63"/>
      <c r="J41" s="63"/>
      <c r="K41" s="63"/>
    </row>
    <row r="42" spans="1:11" x14ac:dyDescent="0.3">
      <c r="A42" s="254"/>
      <c r="B42" s="78" t="s">
        <v>360</v>
      </c>
      <c r="C42" s="53">
        <v>90</v>
      </c>
      <c r="D42" s="63"/>
      <c r="E42" s="63"/>
      <c r="F42" s="63"/>
      <c r="G42" s="63"/>
      <c r="H42" s="63"/>
      <c r="I42" s="63"/>
      <c r="J42" s="63"/>
      <c r="K42" s="63"/>
    </row>
    <row r="43" spans="1:11" x14ac:dyDescent="0.3">
      <c r="A43" s="254"/>
      <c r="B43" s="78" t="s">
        <v>384</v>
      </c>
      <c r="C43" s="53">
        <v>300</v>
      </c>
      <c r="D43" s="63"/>
      <c r="E43" s="63"/>
      <c r="F43" s="63"/>
      <c r="G43" s="251" t="s">
        <v>488</v>
      </c>
      <c r="H43" s="252"/>
      <c r="I43" s="63"/>
      <c r="J43" s="63"/>
      <c r="K43" s="63"/>
    </row>
    <row r="44" spans="1:11" x14ac:dyDescent="0.3">
      <c r="A44" s="254"/>
      <c r="B44" s="78" t="s">
        <v>368</v>
      </c>
      <c r="C44" s="157">
        <v>4</v>
      </c>
      <c r="D44" s="63"/>
      <c r="E44" s="63"/>
      <c r="F44" s="63"/>
      <c r="G44" s="252"/>
      <c r="H44" s="252"/>
      <c r="I44" s="63"/>
      <c r="J44" s="63"/>
      <c r="K44" s="63"/>
    </row>
    <row r="45" spans="1:11" x14ac:dyDescent="0.3">
      <c r="A45" s="254"/>
      <c r="B45" s="78" t="s">
        <v>369</v>
      </c>
      <c r="C45" s="157">
        <v>2</v>
      </c>
      <c r="D45" s="63"/>
      <c r="E45" s="63"/>
      <c r="F45" s="63"/>
      <c r="G45" s="252"/>
      <c r="H45" s="252"/>
      <c r="I45" s="63"/>
      <c r="J45" s="63"/>
      <c r="K45" s="63"/>
    </row>
    <row r="46" spans="1:11" x14ac:dyDescent="0.3">
      <c r="A46" s="65"/>
      <c r="B46" s="65"/>
      <c r="D46" s="63"/>
      <c r="E46" s="63"/>
      <c r="F46" s="63"/>
      <c r="G46" s="252"/>
      <c r="H46" s="252"/>
      <c r="I46" s="63"/>
      <c r="J46" s="63"/>
      <c r="K46" s="63"/>
    </row>
    <row r="47" spans="1:11" x14ac:dyDescent="0.3">
      <c r="A47" s="171" t="s">
        <v>275</v>
      </c>
      <c r="B47" s="78" t="s">
        <v>272</v>
      </c>
      <c r="C47" s="158">
        <v>500</v>
      </c>
      <c r="D47" s="63"/>
      <c r="E47" s="63"/>
      <c r="F47" s="63"/>
      <c r="G47" s="252"/>
      <c r="H47" s="252"/>
      <c r="J47" s="63"/>
      <c r="K47" s="63"/>
    </row>
    <row r="48" spans="1:11" x14ac:dyDescent="0.3">
      <c r="A48" s="65"/>
      <c r="B48" s="65"/>
      <c r="J48" s="63"/>
      <c r="K48" s="63"/>
    </row>
    <row r="49" spans="1:11" ht="15" thickBot="1" x14ac:dyDescent="0.35">
      <c r="A49" s="253" t="s">
        <v>269</v>
      </c>
      <c r="B49" s="253"/>
      <c r="C49" s="63"/>
      <c r="J49" s="63"/>
      <c r="K49" s="63"/>
    </row>
    <row r="50" spans="1:11" ht="15" thickBot="1" x14ac:dyDescent="0.35">
      <c r="A50" s="78" t="s">
        <v>286</v>
      </c>
      <c r="B50" s="78"/>
      <c r="C50" s="159" t="s">
        <v>251</v>
      </c>
      <c r="J50" s="63"/>
      <c r="K50" s="63"/>
    </row>
    <row r="51" spans="1:11" ht="15" thickBot="1" x14ac:dyDescent="0.35">
      <c r="A51" s="78" t="s">
        <v>288</v>
      </c>
      <c r="B51" s="78"/>
      <c r="C51" s="160" t="s">
        <v>318</v>
      </c>
      <c r="J51" s="63"/>
      <c r="K51" s="63"/>
    </row>
    <row r="52" spans="1:11" x14ac:dyDescent="0.3">
      <c r="A52" s="78"/>
      <c r="B52" s="78"/>
      <c r="C52" s="63"/>
      <c r="J52" s="63"/>
      <c r="K52" s="63"/>
    </row>
    <row r="53" spans="1:11" x14ac:dyDescent="0.3">
      <c r="A53" s="78" t="s">
        <v>289</v>
      </c>
      <c r="B53" s="78"/>
      <c r="C53" s="176">
        <f>$B$7*('Valores c. de las uniones'!N40/$B$8)</f>
        <v>7430.5729822424155</v>
      </c>
      <c r="G53" s="63"/>
      <c r="H53" s="63"/>
      <c r="I53" s="63"/>
      <c r="J53" s="63"/>
      <c r="K53" s="63"/>
    </row>
    <row r="54" spans="1:11" x14ac:dyDescent="0.3">
      <c r="A54" s="78" t="s">
        <v>386</v>
      </c>
      <c r="B54" s="78"/>
      <c r="C54" s="176">
        <f>C44*C45*'Valores c. de las uniones'!AJ45</f>
        <v>24126.720000000001</v>
      </c>
      <c r="D54" s="63"/>
      <c r="E54" s="63"/>
      <c r="F54" s="63"/>
      <c r="G54" s="63"/>
      <c r="H54" s="63"/>
      <c r="I54" s="63"/>
      <c r="J54" s="63"/>
      <c r="K54" s="63"/>
    </row>
    <row r="55" spans="1:11" x14ac:dyDescent="0.3">
      <c r="A55" s="63"/>
      <c r="B55" s="63"/>
      <c r="C55" s="63"/>
      <c r="D55" s="63"/>
      <c r="E55" s="63"/>
      <c r="F55" s="63"/>
      <c r="G55" s="63"/>
      <c r="H55" s="63"/>
      <c r="I55" s="63"/>
      <c r="J55" s="63"/>
      <c r="K55" s="63"/>
    </row>
    <row r="56" spans="1:11" x14ac:dyDescent="0.3">
      <c r="A56" s="63"/>
      <c r="B56" s="63"/>
      <c r="C56" s="63"/>
      <c r="D56" s="63"/>
      <c r="E56" s="63"/>
      <c r="F56" s="63"/>
      <c r="G56" s="63"/>
      <c r="H56" s="63"/>
      <c r="I56" s="63"/>
      <c r="J56" s="63"/>
      <c r="K56" s="63"/>
    </row>
    <row r="57" spans="1:11" x14ac:dyDescent="0.3">
      <c r="A57" s="255" t="s">
        <v>297</v>
      </c>
      <c r="B57" s="255"/>
      <c r="C57" s="255"/>
      <c r="D57" s="63"/>
      <c r="E57" s="63"/>
      <c r="F57" s="63"/>
      <c r="G57" s="63"/>
      <c r="H57" s="251" t="s">
        <v>489</v>
      </c>
      <c r="I57" s="63"/>
      <c r="J57" s="63"/>
      <c r="K57" s="63"/>
    </row>
    <row r="58" spans="1:11" x14ac:dyDescent="0.3">
      <c r="A58" s="63"/>
      <c r="B58" s="63"/>
      <c r="C58" s="63"/>
      <c r="D58" s="63"/>
      <c r="E58" s="63"/>
      <c r="F58" s="63"/>
      <c r="G58" s="63"/>
      <c r="H58" s="252"/>
      <c r="I58" s="63"/>
      <c r="J58" s="63"/>
      <c r="K58" s="63"/>
    </row>
    <row r="59" spans="1:11" x14ac:dyDescent="0.3">
      <c r="A59" s="254" t="s">
        <v>273</v>
      </c>
      <c r="B59" s="78" t="s">
        <v>265</v>
      </c>
      <c r="C59" s="53">
        <v>100</v>
      </c>
      <c r="D59" s="63"/>
      <c r="E59" s="63"/>
      <c r="F59" s="63"/>
      <c r="G59" s="63"/>
      <c r="H59" s="252"/>
      <c r="I59" s="63"/>
      <c r="J59" s="63"/>
      <c r="K59" s="63"/>
    </row>
    <row r="60" spans="1:11" x14ac:dyDescent="0.3">
      <c r="A60" s="254"/>
      <c r="B60" s="78" t="s">
        <v>266</v>
      </c>
      <c r="C60" s="53">
        <v>300</v>
      </c>
      <c r="D60" s="63"/>
      <c r="E60" s="63"/>
      <c r="F60" s="63"/>
      <c r="G60" s="63"/>
      <c r="H60" s="252"/>
      <c r="I60" s="63"/>
      <c r="J60" s="63"/>
      <c r="K60" s="63"/>
    </row>
    <row r="61" spans="1:11" x14ac:dyDescent="0.3">
      <c r="A61" s="78"/>
      <c r="B61" s="78"/>
      <c r="C61" s="63"/>
      <c r="D61" s="63"/>
      <c r="E61" s="63"/>
      <c r="F61" s="63"/>
      <c r="G61" s="63"/>
      <c r="H61" s="252"/>
      <c r="I61" s="63"/>
      <c r="J61" s="63"/>
      <c r="K61" s="63"/>
    </row>
    <row r="62" spans="1:11" x14ac:dyDescent="0.3">
      <c r="A62" s="254" t="s">
        <v>302</v>
      </c>
      <c r="B62" s="78" t="s">
        <v>267</v>
      </c>
      <c r="C62" s="53">
        <v>10</v>
      </c>
      <c r="D62" s="162" t="s">
        <v>404</v>
      </c>
      <c r="E62" s="163">
        <v>0</v>
      </c>
      <c r="F62" s="63"/>
      <c r="G62" s="63"/>
      <c r="H62" s="252"/>
      <c r="I62" s="63"/>
      <c r="J62" s="63"/>
      <c r="K62" s="63"/>
    </row>
    <row r="63" spans="1:11" x14ac:dyDescent="0.3">
      <c r="A63" s="254"/>
      <c r="B63" s="172" t="s">
        <v>374</v>
      </c>
      <c r="C63" s="53">
        <v>30</v>
      </c>
      <c r="D63" s="162" t="s">
        <v>405</v>
      </c>
      <c r="E63" s="163">
        <v>0</v>
      </c>
      <c r="F63" s="63"/>
      <c r="H63" s="252"/>
      <c r="I63" s="63"/>
      <c r="J63" s="63"/>
      <c r="K63" s="63"/>
    </row>
    <row r="64" spans="1:11" x14ac:dyDescent="0.3">
      <c r="A64" s="254"/>
      <c r="B64" s="78" t="s">
        <v>264</v>
      </c>
      <c r="C64" s="156">
        <v>800</v>
      </c>
      <c r="D64" s="63"/>
      <c r="E64" s="63"/>
      <c r="F64" s="63"/>
      <c r="H64" s="252"/>
      <c r="I64" s="63"/>
      <c r="J64" s="63"/>
      <c r="K64" s="63"/>
    </row>
    <row r="65" spans="1:11" x14ac:dyDescent="0.3">
      <c r="A65" s="254"/>
      <c r="B65" s="78" t="s">
        <v>398</v>
      </c>
      <c r="C65" s="53">
        <v>80</v>
      </c>
      <c r="D65" s="63"/>
      <c r="E65" s="63"/>
      <c r="F65" s="63"/>
      <c r="H65" s="252"/>
      <c r="I65" s="63"/>
      <c r="J65" s="63"/>
      <c r="K65" s="63"/>
    </row>
    <row r="66" spans="1:11" x14ac:dyDescent="0.3">
      <c r="A66" s="254"/>
      <c r="B66" s="78" t="s">
        <v>400</v>
      </c>
      <c r="C66" s="53">
        <v>60</v>
      </c>
      <c r="D66" s="63"/>
      <c r="E66" s="63"/>
      <c r="F66" s="63"/>
      <c r="H66" s="252"/>
      <c r="I66" s="63"/>
      <c r="J66" s="63"/>
      <c r="K66" s="63"/>
    </row>
    <row r="67" spans="1:11" x14ac:dyDescent="0.3">
      <c r="A67" s="254"/>
      <c r="B67" s="78" t="s">
        <v>384</v>
      </c>
      <c r="C67" s="53">
        <v>400</v>
      </c>
      <c r="D67" s="63"/>
      <c r="E67" s="63"/>
      <c r="F67" s="63"/>
      <c r="I67" s="63"/>
      <c r="J67" s="63"/>
      <c r="K67" s="63"/>
    </row>
    <row r="68" spans="1:11" x14ac:dyDescent="0.3">
      <c r="A68" s="254"/>
      <c r="B68" s="78" t="s">
        <v>368</v>
      </c>
      <c r="C68" s="157">
        <v>2</v>
      </c>
    </row>
    <row r="69" spans="1:11" x14ac:dyDescent="0.3">
      <c r="A69" s="254"/>
      <c r="B69" s="78" t="s">
        <v>369</v>
      </c>
      <c r="C69" s="157">
        <v>1</v>
      </c>
    </row>
    <row r="70" spans="1:11" x14ac:dyDescent="0.3">
      <c r="A70" s="65"/>
      <c r="B70" s="65"/>
      <c r="D70" s="63"/>
      <c r="E70" s="63"/>
      <c r="F70" s="63"/>
      <c r="G70" s="63"/>
      <c r="H70" s="251" t="s">
        <v>491</v>
      </c>
      <c r="I70" s="63"/>
    </row>
    <row r="71" spans="1:11" x14ac:dyDescent="0.3">
      <c r="A71" s="171" t="s">
        <v>275</v>
      </c>
      <c r="B71" s="78" t="s">
        <v>272</v>
      </c>
      <c r="C71" s="158">
        <v>500</v>
      </c>
      <c r="D71" s="63"/>
      <c r="E71" s="63"/>
      <c r="F71" s="63"/>
      <c r="G71" s="63"/>
      <c r="H71" s="252"/>
      <c r="I71" s="63"/>
    </row>
    <row r="72" spans="1:11" x14ac:dyDescent="0.3">
      <c r="A72" s="173"/>
      <c r="B72" s="78"/>
      <c r="C72" s="166"/>
      <c r="D72" s="63"/>
      <c r="E72" s="63"/>
      <c r="F72" s="63"/>
      <c r="G72" s="63"/>
      <c r="H72" s="252"/>
      <c r="I72" s="63"/>
    </row>
    <row r="73" spans="1:11" x14ac:dyDescent="0.3">
      <c r="A73" s="254" t="s">
        <v>396</v>
      </c>
      <c r="B73" s="78" t="s">
        <v>264</v>
      </c>
      <c r="C73" s="156">
        <v>410</v>
      </c>
      <c r="D73" s="63"/>
      <c r="E73" s="63"/>
      <c r="F73" s="63"/>
      <c r="G73" s="63"/>
      <c r="H73" s="252"/>
      <c r="I73" s="63"/>
    </row>
    <row r="74" spans="1:11" x14ac:dyDescent="0.3">
      <c r="A74" s="254"/>
      <c r="B74" s="78" t="s">
        <v>397</v>
      </c>
      <c r="C74" s="53">
        <v>50</v>
      </c>
      <c r="D74" s="63"/>
      <c r="E74" s="63"/>
      <c r="F74" s="63"/>
      <c r="G74" s="63"/>
      <c r="H74" s="252"/>
      <c r="I74" s="63"/>
    </row>
    <row r="75" spans="1:11" x14ac:dyDescent="0.3">
      <c r="A75" s="254"/>
      <c r="B75" s="78" t="s">
        <v>399</v>
      </c>
      <c r="C75" s="53">
        <v>30</v>
      </c>
      <c r="D75" s="63"/>
      <c r="E75" s="63"/>
      <c r="F75" s="63"/>
      <c r="G75" s="63"/>
      <c r="H75" s="252"/>
      <c r="I75" s="63"/>
    </row>
    <row r="76" spans="1:11" x14ac:dyDescent="0.3">
      <c r="A76" s="165"/>
      <c r="B76" s="63"/>
      <c r="D76" s="63"/>
      <c r="E76" s="63"/>
      <c r="F76" s="63"/>
      <c r="G76" s="63"/>
      <c r="H76" s="63"/>
      <c r="I76" s="63"/>
    </row>
    <row r="78" spans="1:11" ht="15" thickBot="1" x14ac:dyDescent="0.35">
      <c r="A78" s="253" t="s">
        <v>268</v>
      </c>
      <c r="B78" s="253"/>
      <c r="C78" s="63"/>
      <c r="D78" s="253" t="s">
        <v>269</v>
      </c>
      <c r="E78" s="253"/>
      <c r="F78" s="63"/>
      <c r="G78" s="253" t="s">
        <v>252</v>
      </c>
      <c r="H78" s="253"/>
      <c r="I78" s="63"/>
    </row>
    <row r="79" spans="1:11" ht="15" thickBot="1" x14ac:dyDescent="0.35">
      <c r="A79" s="78" t="s">
        <v>286</v>
      </c>
      <c r="B79" s="63"/>
      <c r="C79" s="159" t="s">
        <v>251</v>
      </c>
      <c r="D79" s="78" t="s">
        <v>286</v>
      </c>
      <c r="E79" s="78"/>
      <c r="F79" s="159" t="s">
        <v>244</v>
      </c>
      <c r="G79" s="78" t="s">
        <v>286</v>
      </c>
      <c r="H79" s="78"/>
      <c r="I79" s="159" t="s">
        <v>315</v>
      </c>
    </row>
    <row r="80" spans="1:11" ht="15" thickBot="1" x14ac:dyDescent="0.35">
      <c r="A80" s="78"/>
      <c r="B80" s="63"/>
      <c r="C80" s="63"/>
      <c r="D80" s="78" t="s">
        <v>288</v>
      </c>
      <c r="E80" s="78"/>
      <c r="F80" s="160" t="s">
        <v>279</v>
      </c>
      <c r="G80" s="78"/>
      <c r="H80" s="78"/>
      <c r="I80" s="63"/>
    </row>
    <row r="81" spans="1:11" x14ac:dyDescent="0.3">
      <c r="A81" s="78"/>
      <c r="B81" s="63"/>
      <c r="C81" s="63"/>
      <c r="D81" s="78"/>
      <c r="E81" s="78"/>
      <c r="F81" s="63"/>
      <c r="G81" s="78"/>
      <c r="H81" s="78"/>
      <c r="I81" s="63"/>
    </row>
    <row r="82" spans="1:11" x14ac:dyDescent="0.3">
      <c r="A82" s="78" t="s">
        <v>289</v>
      </c>
      <c r="B82" s="78"/>
      <c r="C82" s="176">
        <f>$B$7*('Valores c. de las uniones'!N56/$B$8)</f>
        <v>15583.683373285954</v>
      </c>
      <c r="D82" s="78" t="s">
        <v>289</v>
      </c>
      <c r="E82" s="78"/>
      <c r="F82" s="176">
        <f>$B$7*('Valores c. de las uniones'!N66/$B$8)</f>
        <v>9223.9569734017496</v>
      </c>
      <c r="G82" s="78" t="s">
        <v>289</v>
      </c>
      <c r="H82" s="78"/>
      <c r="I82" s="176">
        <f>$B$7*('Valores c. de las uniones'!N77/$B$8)</f>
        <v>15583.683373285954</v>
      </c>
    </row>
    <row r="83" spans="1:11" x14ac:dyDescent="0.3">
      <c r="A83" s="78" t="s">
        <v>290</v>
      </c>
      <c r="B83" s="78"/>
      <c r="C83" s="176">
        <f>B7*('Valores c. de las uniones'!AC77/B8)*C68*C69</f>
        <v>5386.4410320000006</v>
      </c>
      <c r="D83" s="78" t="s">
        <v>290</v>
      </c>
      <c r="E83" s="78"/>
      <c r="F83" s="176">
        <f>B7*('Valores c. de las uniones'!AC77/B8)*C68*C69</f>
        <v>5386.4410320000006</v>
      </c>
      <c r="G83" s="78" t="s">
        <v>290</v>
      </c>
      <c r="H83" s="78"/>
      <c r="I83" s="176">
        <f>B7*('Valores c. de las uniones'!AC77/B8)*C68*C69</f>
        <v>5386.4410320000006</v>
      </c>
      <c r="J83" s="63"/>
      <c r="K83" s="63"/>
    </row>
    <row r="84" spans="1:11" x14ac:dyDescent="0.3">
      <c r="A84" s="78" t="s">
        <v>375</v>
      </c>
      <c r="B84" s="78"/>
      <c r="C84" s="78">
        <f>(($B$2/C82)^2)+(($B$3/C83)^2)</f>
        <v>24.956116389294341</v>
      </c>
      <c r="D84" s="78" t="s">
        <v>375</v>
      </c>
      <c r="E84" s="78"/>
      <c r="F84" s="78">
        <f t="shared" ref="F84:I84" si="1">(($B$2/F82)^2)+(($B$3/F83)^2)</f>
        <v>71.233239751482998</v>
      </c>
      <c r="G84" s="78" t="s">
        <v>375</v>
      </c>
      <c r="H84" s="78"/>
      <c r="I84" s="78">
        <f t="shared" si="1"/>
        <v>24.956116389294341</v>
      </c>
      <c r="J84" s="63"/>
      <c r="K84" s="63"/>
    </row>
    <row r="85" spans="1:11" x14ac:dyDescent="0.3">
      <c r="A85" s="78" t="s">
        <v>386</v>
      </c>
      <c r="B85" s="78"/>
      <c r="C85" s="176">
        <f>C68*C69*'Valores c. de las uniones'!AJ61</f>
        <v>75396.000000000015</v>
      </c>
      <c r="D85" s="78" t="s">
        <v>386</v>
      </c>
      <c r="E85" s="78"/>
      <c r="F85" s="176">
        <f>C68*C69*'Valores c. de las uniones'!AJ67</f>
        <v>37698.000000000007</v>
      </c>
      <c r="G85" s="78" t="s">
        <v>386</v>
      </c>
      <c r="H85" s="78"/>
      <c r="I85" s="176">
        <f>C68*C69*'Valores c. de las uniones'!AJ77</f>
        <v>75396.000000000015</v>
      </c>
      <c r="J85" s="63"/>
      <c r="K85" s="63"/>
    </row>
    <row r="86" spans="1:11" x14ac:dyDescent="0.3">
      <c r="A86" s="78"/>
      <c r="B86" s="78"/>
      <c r="C86" s="78"/>
      <c r="D86" s="78"/>
      <c r="E86" s="78"/>
      <c r="F86" s="176"/>
      <c r="G86" s="172" t="s">
        <v>391</v>
      </c>
      <c r="H86" s="78"/>
      <c r="I86" s="176">
        <f>C68*C69*'Valores c. de las uniones'!AP87</f>
        <v>1640000</v>
      </c>
      <c r="J86" s="63"/>
      <c r="K86" s="63"/>
    </row>
    <row r="87" spans="1:11" x14ac:dyDescent="0.3">
      <c r="A87" s="63"/>
      <c r="B87" s="63"/>
      <c r="C87" s="63"/>
      <c r="D87" s="63"/>
      <c r="E87" s="63"/>
      <c r="F87" s="63"/>
      <c r="G87" s="63"/>
      <c r="H87" s="63"/>
      <c r="I87" s="63"/>
      <c r="J87" s="63"/>
      <c r="K87" s="63"/>
    </row>
    <row r="88" spans="1:11" x14ac:dyDescent="0.3">
      <c r="A88" s="63"/>
      <c r="B88" s="63"/>
      <c r="C88" s="63"/>
      <c r="D88" s="63"/>
      <c r="E88" s="63"/>
      <c r="F88" s="63"/>
      <c r="G88" s="63"/>
      <c r="H88" s="63"/>
      <c r="I88" s="63"/>
      <c r="J88" s="63"/>
      <c r="K88" s="63"/>
    </row>
    <row r="89" spans="1:11" x14ac:dyDescent="0.3">
      <c r="A89" s="63"/>
      <c r="B89" s="63"/>
      <c r="C89" s="63"/>
      <c r="D89" s="63"/>
      <c r="E89" s="63"/>
      <c r="F89" s="63"/>
      <c r="G89" s="63"/>
      <c r="H89" s="63"/>
      <c r="I89" s="63"/>
      <c r="J89" s="63"/>
      <c r="K89" s="63"/>
    </row>
    <row r="90" spans="1:11" x14ac:dyDescent="0.3">
      <c r="A90" s="255" t="s">
        <v>320</v>
      </c>
      <c r="B90" s="255"/>
      <c r="C90" s="255"/>
      <c r="D90" s="63"/>
      <c r="E90" s="63"/>
      <c r="F90" s="63"/>
      <c r="G90" s="63"/>
      <c r="H90" s="63"/>
      <c r="I90" s="63"/>
      <c r="J90" s="63"/>
      <c r="K90" s="63"/>
    </row>
    <row r="91" spans="1:11" x14ac:dyDescent="0.3">
      <c r="A91" s="63"/>
      <c r="B91" s="63"/>
      <c r="C91" s="63"/>
      <c r="D91" s="63"/>
      <c r="E91" s="63"/>
      <c r="F91" s="63"/>
      <c r="G91" s="63"/>
      <c r="H91" s="63"/>
      <c r="I91" s="63"/>
      <c r="J91" s="63"/>
      <c r="K91" s="63"/>
    </row>
    <row r="92" spans="1:11" x14ac:dyDescent="0.3">
      <c r="A92" s="254" t="s">
        <v>273</v>
      </c>
      <c r="B92" s="78" t="s">
        <v>265</v>
      </c>
      <c r="C92" s="53">
        <v>100</v>
      </c>
      <c r="D92" s="63"/>
      <c r="E92" s="63"/>
      <c r="F92" s="63"/>
      <c r="G92" s="63"/>
      <c r="H92" s="63"/>
      <c r="I92" s="63"/>
      <c r="J92" s="63"/>
      <c r="K92" s="63"/>
    </row>
    <row r="93" spans="1:11" x14ac:dyDescent="0.3">
      <c r="A93" s="254"/>
      <c r="B93" s="78" t="s">
        <v>266</v>
      </c>
      <c r="C93" s="53">
        <v>300</v>
      </c>
      <c r="D93" s="63"/>
      <c r="E93" s="63"/>
      <c r="F93" s="63"/>
      <c r="G93" s="63"/>
      <c r="H93" s="63"/>
      <c r="I93" s="63"/>
      <c r="J93" s="63"/>
      <c r="K93" s="63"/>
    </row>
    <row r="94" spans="1:11" x14ac:dyDescent="0.3">
      <c r="A94" s="78"/>
      <c r="B94" s="78"/>
      <c r="C94" s="63"/>
      <c r="D94" s="63"/>
      <c r="E94" s="63"/>
      <c r="F94" s="63"/>
      <c r="G94" s="63"/>
      <c r="H94" s="251" t="s">
        <v>486</v>
      </c>
      <c r="I94" s="252"/>
      <c r="J94" s="63"/>
      <c r="K94" s="63"/>
    </row>
    <row r="95" spans="1:11" x14ac:dyDescent="0.3">
      <c r="A95" s="254" t="s">
        <v>326</v>
      </c>
      <c r="B95" s="78" t="s">
        <v>267</v>
      </c>
      <c r="C95" s="53">
        <v>16</v>
      </c>
      <c r="D95" s="175" t="s">
        <v>404</v>
      </c>
      <c r="E95" s="163">
        <v>0</v>
      </c>
      <c r="F95" s="63"/>
      <c r="G95" s="63"/>
      <c r="H95" s="252"/>
      <c r="I95" s="252"/>
      <c r="J95" s="63"/>
      <c r="K95" s="63"/>
    </row>
    <row r="96" spans="1:11" x14ac:dyDescent="0.3">
      <c r="A96" s="254"/>
      <c r="B96" s="78" t="s">
        <v>264</v>
      </c>
      <c r="C96" s="156">
        <v>600</v>
      </c>
      <c r="D96" s="175" t="s">
        <v>405</v>
      </c>
      <c r="E96" s="163">
        <v>0</v>
      </c>
      <c r="F96" s="63"/>
      <c r="G96" s="63"/>
      <c r="H96" s="252"/>
      <c r="I96" s="252"/>
      <c r="J96" s="63"/>
      <c r="K96" s="63"/>
    </row>
    <row r="97" spans="1:11" ht="16.2" x14ac:dyDescent="0.35">
      <c r="A97" s="254"/>
      <c r="B97" s="174" t="s">
        <v>352</v>
      </c>
      <c r="C97" s="53">
        <v>60</v>
      </c>
      <c r="D97" s="63"/>
      <c r="E97" s="63"/>
      <c r="F97" s="63"/>
      <c r="G97" s="63"/>
      <c r="H97" s="252"/>
      <c r="I97" s="252"/>
      <c r="J97" s="63"/>
      <c r="K97" s="63"/>
    </row>
    <row r="98" spans="1:11" x14ac:dyDescent="0.3">
      <c r="A98" s="254"/>
      <c r="B98" s="78" t="s">
        <v>398</v>
      </c>
      <c r="C98" s="53">
        <v>60</v>
      </c>
      <c r="D98" s="63"/>
      <c r="E98" s="63"/>
      <c r="F98" s="63"/>
      <c r="G98" s="63"/>
      <c r="H98" s="252"/>
      <c r="I98" s="252"/>
      <c r="J98" s="63"/>
      <c r="K98" s="63"/>
    </row>
    <row r="99" spans="1:11" x14ac:dyDescent="0.3">
      <c r="A99" s="254"/>
      <c r="B99" s="78" t="s">
        <v>400</v>
      </c>
      <c r="C99" s="53">
        <v>50</v>
      </c>
      <c r="D99" s="63"/>
      <c r="E99" s="63"/>
      <c r="F99" s="63"/>
      <c r="G99" s="63"/>
      <c r="H99" s="63"/>
      <c r="I99" s="63"/>
      <c r="J99" s="63"/>
      <c r="K99" s="63"/>
    </row>
    <row r="100" spans="1:11" x14ac:dyDescent="0.3">
      <c r="A100" s="254"/>
      <c r="B100" s="78" t="s">
        <v>384</v>
      </c>
      <c r="C100" s="53">
        <v>450</v>
      </c>
      <c r="J100" s="63"/>
      <c r="K100" s="63"/>
    </row>
    <row r="101" spans="1:11" x14ac:dyDescent="0.3">
      <c r="A101" s="254"/>
      <c r="B101" s="78" t="s">
        <v>368</v>
      </c>
      <c r="C101" s="157">
        <v>2</v>
      </c>
      <c r="D101" s="63"/>
      <c r="E101" s="63"/>
      <c r="F101" s="63"/>
      <c r="G101" s="63"/>
      <c r="H101" s="251" t="s">
        <v>490</v>
      </c>
      <c r="I101" s="252"/>
      <c r="J101" s="63"/>
      <c r="K101" s="63"/>
    </row>
    <row r="102" spans="1:11" x14ac:dyDescent="0.3">
      <c r="A102" s="254"/>
      <c r="B102" s="78" t="s">
        <v>369</v>
      </c>
      <c r="C102" s="157">
        <v>2</v>
      </c>
      <c r="D102" s="63"/>
      <c r="E102" s="63"/>
      <c r="F102" s="63"/>
      <c r="G102" s="63"/>
      <c r="H102" s="252"/>
      <c r="I102" s="252"/>
      <c r="J102" s="63"/>
      <c r="K102" s="63"/>
    </row>
    <row r="103" spans="1:11" x14ac:dyDescent="0.3">
      <c r="A103" s="65"/>
      <c r="B103" s="65"/>
      <c r="D103" s="63"/>
      <c r="E103" s="63"/>
      <c r="F103" s="63"/>
      <c r="G103" s="63"/>
      <c r="H103" s="252"/>
      <c r="I103" s="252"/>
      <c r="J103" s="63"/>
      <c r="K103" s="63"/>
    </row>
    <row r="104" spans="1:11" x14ac:dyDescent="0.3">
      <c r="A104" s="171" t="s">
        <v>275</v>
      </c>
      <c r="B104" s="78" t="s">
        <v>272</v>
      </c>
      <c r="C104" s="158">
        <v>500</v>
      </c>
      <c r="H104" s="252"/>
      <c r="I104" s="252"/>
    </row>
    <row r="105" spans="1:11" x14ac:dyDescent="0.3">
      <c r="A105" s="173"/>
      <c r="B105" s="78"/>
      <c r="C105" s="166"/>
      <c r="H105" s="252"/>
      <c r="I105" s="252"/>
    </row>
    <row r="106" spans="1:11" x14ac:dyDescent="0.3">
      <c r="A106" s="254" t="s">
        <v>396</v>
      </c>
      <c r="B106" s="78" t="s">
        <v>264</v>
      </c>
      <c r="C106" s="156">
        <v>410</v>
      </c>
    </row>
    <row r="107" spans="1:11" x14ac:dyDescent="0.3">
      <c r="A107" s="254"/>
      <c r="B107" s="78" t="s">
        <v>397</v>
      </c>
      <c r="C107" s="53">
        <v>50</v>
      </c>
    </row>
    <row r="108" spans="1:11" x14ac:dyDescent="0.3">
      <c r="A108" s="254"/>
      <c r="B108" s="78" t="s">
        <v>399</v>
      </c>
      <c r="C108" s="53">
        <v>50</v>
      </c>
    </row>
    <row r="109" spans="1:11" x14ac:dyDescent="0.3">
      <c r="A109" s="165"/>
      <c r="B109" s="63"/>
      <c r="C109" s="166"/>
    </row>
    <row r="111" spans="1:11" ht="15" thickBot="1" x14ac:dyDescent="0.35">
      <c r="A111" s="253" t="s">
        <v>268</v>
      </c>
      <c r="B111" s="253"/>
      <c r="C111" s="63"/>
      <c r="D111" s="253" t="s">
        <v>269</v>
      </c>
      <c r="E111" s="253"/>
      <c r="F111" s="63"/>
      <c r="G111" s="253" t="s">
        <v>252</v>
      </c>
      <c r="H111" s="253"/>
      <c r="I111" s="63"/>
    </row>
    <row r="112" spans="1:11" ht="15" thickBot="1" x14ac:dyDescent="0.35">
      <c r="A112" s="78" t="s">
        <v>286</v>
      </c>
      <c r="B112" s="78"/>
      <c r="C112" s="159" t="s">
        <v>251</v>
      </c>
      <c r="D112" s="78" t="s">
        <v>286</v>
      </c>
      <c r="E112" s="78"/>
      <c r="F112" s="159" t="s">
        <v>244</v>
      </c>
      <c r="G112" s="78" t="s">
        <v>286</v>
      </c>
      <c r="H112" s="78"/>
      <c r="I112" s="159" t="s">
        <v>315</v>
      </c>
    </row>
    <row r="113" spans="1:11" ht="15" thickBot="1" x14ac:dyDescent="0.35">
      <c r="A113" s="78"/>
      <c r="B113" s="78"/>
      <c r="C113" s="63"/>
      <c r="D113" s="78" t="s">
        <v>288</v>
      </c>
      <c r="E113" s="78"/>
      <c r="F113" s="160" t="s">
        <v>318</v>
      </c>
      <c r="G113" s="78"/>
      <c r="H113" s="78"/>
      <c r="I113" s="63"/>
    </row>
    <row r="114" spans="1:11" x14ac:dyDescent="0.3">
      <c r="A114" s="78"/>
      <c r="B114" s="78"/>
      <c r="C114" s="63"/>
      <c r="D114" s="78"/>
      <c r="E114" s="78"/>
      <c r="F114" s="63"/>
      <c r="G114" s="78"/>
      <c r="H114" s="78"/>
      <c r="I114" s="63"/>
    </row>
    <row r="115" spans="1:11" x14ac:dyDescent="0.3">
      <c r="A115" s="78" t="s">
        <v>289</v>
      </c>
      <c r="B115" s="78"/>
      <c r="C115" s="176">
        <f>$B$7*('Valores c. de las uniones'!N92/$B$8)</f>
        <v>50280.596392599073</v>
      </c>
      <c r="D115" s="78" t="s">
        <v>289</v>
      </c>
      <c r="E115" s="78"/>
      <c r="F115" s="176">
        <f>$B$7*('Valores c. de las uniones'!N102/$B$8)</f>
        <v>29117.885977998845</v>
      </c>
      <c r="G115" s="78" t="s">
        <v>289</v>
      </c>
      <c r="H115" s="78"/>
      <c r="I115" s="176">
        <f>$B$7*('Valores c. de las uniones'!N112/$B$8)</f>
        <v>50280.596392599073</v>
      </c>
    </row>
    <row r="116" spans="1:11" x14ac:dyDescent="0.3">
      <c r="A116" s="78" t="s">
        <v>290</v>
      </c>
      <c r="B116" s="78"/>
      <c r="C116" s="176">
        <f>B7*('Valores c. de las uniones'!AC113/B8)</f>
        <v>15598.653491275363</v>
      </c>
      <c r="D116" s="78" t="s">
        <v>290</v>
      </c>
      <c r="E116" s="78"/>
      <c r="F116" s="176">
        <f>B7*('Valores c. de las uniones'!AC113/B8)</f>
        <v>15598.653491275363</v>
      </c>
      <c r="G116" s="78" t="s">
        <v>290</v>
      </c>
      <c r="H116" s="78"/>
      <c r="I116" s="176">
        <f>B7*('Valores c. de las uniones'!AC113/B8)</f>
        <v>15598.653491275363</v>
      </c>
      <c r="J116" s="63"/>
      <c r="K116" s="63"/>
    </row>
    <row r="117" spans="1:11" x14ac:dyDescent="0.3">
      <c r="A117" s="78" t="s">
        <v>375</v>
      </c>
      <c r="B117" s="78"/>
      <c r="C117" s="78">
        <f>(($B$2/C115)^2)+(($B$3/C116)^2)</f>
        <v>2.3972669230841008</v>
      </c>
      <c r="D117" s="78" t="s">
        <v>375</v>
      </c>
      <c r="E117" s="78"/>
      <c r="F117" s="78">
        <f t="shared" ref="F117:I117" si="2">(($B$2/F115)^2)+(($B$3/F116)^2)</f>
        <v>7.1482140979234972</v>
      </c>
      <c r="G117" s="78" t="s">
        <v>375</v>
      </c>
      <c r="H117" s="78"/>
      <c r="I117" s="78">
        <f t="shared" si="2"/>
        <v>2.3972669230841008</v>
      </c>
      <c r="J117" s="63"/>
      <c r="K117" s="63"/>
    </row>
    <row r="118" spans="1:11" x14ac:dyDescent="0.3">
      <c r="A118" s="78" t="s">
        <v>386</v>
      </c>
      <c r="B118" s="78"/>
      <c r="C118" s="176">
        <f>C101*C102*'Valores c. de las uniones'!AJ96</f>
        <v>289520.64000000001</v>
      </c>
      <c r="D118" s="78" t="s">
        <v>386</v>
      </c>
      <c r="E118" s="78"/>
      <c r="F118" s="176">
        <f>C101*C102*'Valores c. de las uniones'!AJ103</f>
        <v>144760.32000000001</v>
      </c>
      <c r="G118" s="78" t="s">
        <v>386</v>
      </c>
      <c r="H118" s="78"/>
      <c r="I118" s="176">
        <f>C101*C102*'Valores c. de las uniones'!AJ112</f>
        <v>289520.64000000001</v>
      </c>
      <c r="J118" s="63"/>
      <c r="K118" s="63"/>
    </row>
    <row r="119" spans="1:11" x14ac:dyDescent="0.3">
      <c r="A119" s="78"/>
      <c r="B119" s="78"/>
      <c r="C119" s="78"/>
      <c r="D119" s="78"/>
      <c r="E119" s="78"/>
      <c r="F119" s="78"/>
      <c r="G119" s="172" t="s">
        <v>391</v>
      </c>
      <c r="H119" s="78"/>
      <c r="I119" s="176">
        <f>C101*C102*'Valores c. de las uniones'!AP122</f>
        <v>3956732.839506174</v>
      </c>
      <c r="J119" s="63"/>
      <c r="K119" s="63"/>
    </row>
    <row r="120" spans="1:11" x14ac:dyDescent="0.3">
      <c r="A120" s="63"/>
      <c r="B120" s="63"/>
      <c r="C120" s="63"/>
      <c r="D120" s="63"/>
      <c r="E120" s="63"/>
      <c r="F120" s="63"/>
      <c r="G120" s="164"/>
      <c r="H120" s="63"/>
      <c r="I120" s="63"/>
      <c r="J120" s="63"/>
      <c r="K120" s="63"/>
    </row>
    <row r="121" spans="1:11" x14ac:dyDescent="0.3">
      <c r="A121" s="63"/>
      <c r="B121" s="63"/>
      <c r="C121" s="63"/>
      <c r="D121" s="63"/>
      <c r="E121" s="63"/>
      <c r="F121" s="63"/>
      <c r="G121" s="164"/>
      <c r="H121" s="63"/>
      <c r="I121" s="63"/>
      <c r="J121" s="63"/>
      <c r="K121" s="63"/>
    </row>
    <row r="122" spans="1:11" x14ac:dyDescent="0.3">
      <c r="A122" s="63"/>
      <c r="B122" s="63"/>
      <c r="C122" s="63"/>
      <c r="D122" s="63"/>
      <c r="E122" s="63"/>
      <c r="F122" s="63"/>
      <c r="G122" s="63"/>
      <c r="H122" s="63"/>
      <c r="I122" s="63"/>
      <c r="J122" s="63"/>
      <c r="K122" s="63"/>
    </row>
    <row r="123" spans="1:11" x14ac:dyDescent="0.3">
      <c r="A123" s="255" t="s">
        <v>327</v>
      </c>
      <c r="B123" s="255"/>
      <c r="C123" s="255"/>
      <c r="D123" s="63"/>
      <c r="E123" s="63"/>
      <c r="F123" s="63"/>
      <c r="G123" s="63"/>
      <c r="H123" s="251" t="s">
        <v>489</v>
      </c>
      <c r="I123" s="63"/>
      <c r="J123" s="63"/>
      <c r="K123" s="63"/>
    </row>
    <row r="124" spans="1:11" x14ac:dyDescent="0.3">
      <c r="A124" s="63"/>
      <c r="B124" s="63"/>
      <c r="C124" s="63"/>
      <c r="D124" s="63"/>
      <c r="E124" s="63"/>
      <c r="F124" s="63"/>
      <c r="G124" s="63"/>
      <c r="H124" s="252"/>
      <c r="I124" s="63"/>
      <c r="J124" s="63"/>
      <c r="K124" s="63"/>
    </row>
    <row r="125" spans="1:11" x14ac:dyDescent="0.3">
      <c r="A125" s="254" t="s">
        <v>273</v>
      </c>
      <c r="B125" s="78" t="s">
        <v>265</v>
      </c>
      <c r="C125" s="53">
        <v>70</v>
      </c>
      <c r="D125" s="63"/>
      <c r="E125" s="63"/>
      <c r="F125" s="63"/>
      <c r="G125" s="63"/>
      <c r="H125" s="252"/>
      <c r="I125" s="63"/>
      <c r="J125" s="63"/>
      <c r="K125" s="63"/>
    </row>
    <row r="126" spans="1:11" x14ac:dyDescent="0.3">
      <c r="A126" s="254"/>
      <c r="B126" s="78" t="s">
        <v>266</v>
      </c>
      <c r="C126" s="53">
        <v>200</v>
      </c>
      <c r="D126" s="63"/>
      <c r="E126" s="63"/>
      <c r="F126" s="63"/>
      <c r="G126" s="63"/>
      <c r="H126" s="252"/>
      <c r="I126" s="63"/>
      <c r="J126" s="63"/>
      <c r="K126" s="63"/>
    </row>
    <row r="127" spans="1:11" x14ac:dyDescent="0.3">
      <c r="A127" s="78"/>
      <c r="B127" s="78"/>
      <c r="C127" s="63"/>
      <c r="D127" s="63"/>
      <c r="E127" s="63"/>
      <c r="F127" s="63"/>
      <c r="G127" s="63"/>
      <c r="H127" s="252"/>
      <c r="I127" s="63"/>
      <c r="J127" s="63"/>
      <c r="K127" s="63"/>
    </row>
    <row r="128" spans="1:11" x14ac:dyDescent="0.3">
      <c r="A128" s="254" t="s">
        <v>325</v>
      </c>
      <c r="B128" s="78" t="s">
        <v>267</v>
      </c>
      <c r="C128" s="53">
        <v>26</v>
      </c>
      <c r="D128" s="175" t="s">
        <v>404</v>
      </c>
      <c r="E128" s="163">
        <v>0</v>
      </c>
      <c r="F128" s="63"/>
      <c r="G128" s="63"/>
      <c r="H128" s="252"/>
      <c r="I128" s="63"/>
      <c r="J128" s="63"/>
      <c r="K128" s="63"/>
    </row>
    <row r="129" spans="1:11" x14ac:dyDescent="0.3">
      <c r="A129" s="254"/>
      <c r="B129" s="78" t="s">
        <v>264</v>
      </c>
      <c r="C129" s="156">
        <v>360</v>
      </c>
      <c r="D129" s="175" t="s">
        <v>405</v>
      </c>
      <c r="E129" s="163">
        <v>0</v>
      </c>
      <c r="F129" s="63"/>
      <c r="G129" s="63"/>
      <c r="H129" s="252"/>
      <c r="I129" s="63"/>
      <c r="J129" s="63"/>
      <c r="K129" s="63"/>
    </row>
    <row r="130" spans="1:11" x14ac:dyDescent="0.3">
      <c r="A130" s="254"/>
      <c r="B130" s="78" t="s">
        <v>398</v>
      </c>
      <c r="C130" s="53">
        <v>140</v>
      </c>
      <c r="D130" s="63"/>
      <c r="E130" s="63"/>
      <c r="F130" s="63"/>
      <c r="G130" s="63"/>
      <c r="H130" s="252"/>
      <c r="I130" s="63"/>
      <c r="J130" s="63"/>
      <c r="K130" s="63"/>
    </row>
    <row r="131" spans="1:11" x14ac:dyDescent="0.3">
      <c r="A131" s="254"/>
      <c r="B131" s="78" t="s">
        <v>400</v>
      </c>
      <c r="C131" s="53">
        <v>80</v>
      </c>
      <c r="D131" s="63"/>
      <c r="E131" s="63"/>
      <c r="F131" s="63"/>
      <c r="G131" s="63"/>
      <c r="H131" s="252"/>
      <c r="I131" s="63"/>
      <c r="J131" s="63"/>
      <c r="K131" s="63"/>
    </row>
    <row r="132" spans="1:11" x14ac:dyDescent="0.3">
      <c r="A132" s="254"/>
      <c r="B132" s="78" t="s">
        <v>384</v>
      </c>
      <c r="C132" s="53">
        <v>450</v>
      </c>
      <c r="D132" s="63"/>
      <c r="E132" s="63"/>
      <c r="F132" s="63"/>
      <c r="G132" s="63"/>
      <c r="H132" s="252"/>
      <c r="I132" s="63"/>
      <c r="J132" s="63"/>
      <c r="K132" s="63"/>
    </row>
    <row r="133" spans="1:11" x14ac:dyDescent="0.3">
      <c r="A133" s="254"/>
      <c r="B133" s="78" t="s">
        <v>368</v>
      </c>
      <c r="C133" s="157">
        <v>2</v>
      </c>
      <c r="J133" s="63"/>
      <c r="K133" s="63"/>
    </row>
    <row r="134" spans="1:11" x14ac:dyDescent="0.3">
      <c r="A134" s="254"/>
      <c r="B134" s="78" t="s">
        <v>369</v>
      </c>
      <c r="C134" s="157">
        <v>2</v>
      </c>
      <c r="J134" s="63"/>
      <c r="K134" s="63"/>
    </row>
    <row r="135" spans="1:11" x14ac:dyDescent="0.3">
      <c r="A135" s="65"/>
      <c r="B135" s="65"/>
      <c r="D135" s="63"/>
      <c r="E135" s="63"/>
      <c r="F135" s="63"/>
      <c r="G135" s="63"/>
      <c r="H135" s="63"/>
      <c r="I135" s="63"/>
      <c r="J135" s="63"/>
      <c r="K135" s="63"/>
    </row>
    <row r="136" spans="1:11" x14ac:dyDescent="0.3">
      <c r="A136" s="171" t="s">
        <v>275</v>
      </c>
      <c r="B136" s="78" t="s">
        <v>272</v>
      </c>
      <c r="C136" s="158">
        <v>500</v>
      </c>
      <c r="D136" s="63"/>
      <c r="E136" s="63"/>
      <c r="F136" s="63"/>
      <c r="G136" s="63"/>
      <c r="H136" s="251" t="s">
        <v>491</v>
      </c>
      <c r="I136" s="63"/>
      <c r="J136" s="63"/>
      <c r="K136" s="63"/>
    </row>
    <row r="137" spans="1:11" x14ac:dyDescent="0.3">
      <c r="A137" s="173"/>
      <c r="B137" s="78"/>
      <c r="C137" s="166"/>
      <c r="D137" s="63"/>
      <c r="E137" s="63"/>
      <c r="F137" s="63"/>
      <c r="G137" s="63"/>
      <c r="H137" s="252"/>
      <c r="I137" s="63"/>
      <c r="J137" s="63"/>
      <c r="K137" s="63"/>
    </row>
    <row r="138" spans="1:11" x14ac:dyDescent="0.3">
      <c r="A138" s="254" t="s">
        <v>396</v>
      </c>
      <c r="B138" s="78" t="s">
        <v>264</v>
      </c>
      <c r="C138" s="156">
        <v>410</v>
      </c>
      <c r="D138" s="63"/>
      <c r="E138" s="63"/>
      <c r="F138" s="63"/>
      <c r="G138" s="63"/>
      <c r="H138" s="252"/>
      <c r="I138" s="63"/>
      <c r="J138" s="63"/>
      <c r="K138" s="63"/>
    </row>
    <row r="139" spans="1:11" x14ac:dyDescent="0.3">
      <c r="A139" s="254"/>
      <c r="B139" s="78" t="s">
        <v>397</v>
      </c>
      <c r="C139" s="53">
        <v>50</v>
      </c>
      <c r="D139" s="63"/>
      <c r="E139" s="63"/>
      <c r="F139" s="63"/>
      <c r="G139" s="63"/>
      <c r="H139" s="252"/>
      <c r="I139" s="63"/>
      <c r="J139" s="63"/>
      <c r="K139" s="63"/>
    </row>
    <row r="140" spans="1:11" x14ac:dyDescent="0.3">
      <c r="A140" s="254"/>
      <c r="B140" s="78" t="s">
        <v>399</v>
      </c>
      <c r="C140" s="53">
        <v>50</v>
      </c>
      <c r="D140" s="63"/>
      <c r="E140" s="63"/>
      <c r="F140" s="63"/>
      <c r="G140" s="63"/>
      <c r="H140" s="252"/>
      <c r="I140" s="63"/>
      <c r="J140" s="63"/>
      <c r="K140" s="63"/>
    </row>
    <row r="141" spans="1:11" x14ac:dyDescent="0.3">
      <c r="A141" s="167"/>
      <c r="B141" s="63"/>
      <c r="C141" s="168"/>
      <c r="D141" s="63"/>
      <c r="E141" s="63"/>
      <c r="F141" s="63"/>
      <c r="G141" s="63"/>
      <c r="H141" s="252"/>
      <c r="I141" s="63"/>
      <c r="J141" s="63"/>
      <c r="K141" s="63"/>
    </row>
    <row r="142" spans="1:11" x14ac:dyDescent="0.3">
      <c r="A142" s="63"/>
      <c r="B142" s="63"/>
      <c r="C142" s="63"/>
      <c r="D142" s="63"/>
      <c r="E142" s="63"/>
      <c r="F142" s="63"/>
      <c r="G142" s="63"/>
      <c r="H142" s="63"/>
      <c r="I142" s="63"/>
      <c r="J142" s="63"/>
      <c r="K142" s="63"/>
    </row>
    <row r="143" spans="1:11" ht="15" thickBot="1" x14ac:dyDescent="0.35">
      <c r="A143" s="253" t="s">
        <v>268</v>
      </c>
      <c r="B143" s="253"/>
      <c r="C143" s="63"/>
      <c r="D143" s="253" t="s">
        <v>269</v>
      </c>
      <c r="E143" s="253"/>
      <c r="F143" s="63"/>
      <c r="G143" s="253" t="s">
        <v>252</v>
      </c>
      <c r="H143" s="253"/>
      <c r="I143" s="63"/>
    </row>
    <row r="144" spans="1:11" ht="15" thickBot="1" x14ac:dyDescent="0.35">
      <c r="A144" s="78" t="s">
        <v>286</v>
      </c>
      <c r="B144" s="78"/>
      <c r="C144" s="159" t="s">
        <v>251</v>
      </c>
      <c r="D144" s="78" t="s">
        <v>286</v>
      </c>
      <c r="E144" s="78"/>
      <c r="F144" s="159" t="s">
        <v>251</v>
      </c>
      <c r="G144" s="78" t="s">
        <v>286</v>
      </c>
      <c r="H144" s="78"/>
      <c r="I144" s="159" t="s">
        <v>315</v>
      </c>
    </row>
    <row r="145" spans="1:11" ht="15" thickBot="1" x14ac:dyDescent="0.35">
      <c r="A145" s="78"/>
      <c r="B145" s="78"/>
      <c r="C145" s="63"/>
      <c r="D145" s="78" t="s">
        <v>288</v>
      </c>
      <c r="E145" s="78"/>
      <c r="F145" s="160" t="s">
        <v>279</v>
      </c>
      <c r="G145" s="78"/>
      <c r="H145" s="78"/>
      <c r="I145" s="63"/>
    </row>
    <row r="146" spans="1:11" x14ac:dyDescent="0.3">
      <c r="A146" s="78"/>
      <c r="B146" s="78"/>
      <c r="C146" s="63"/>
      <c r="D146" s="78"/>
      <c r="E146" s="78"/>
      <c r="F146" s="63"/>
      <c r="G146" s="78"/>
      <c r="H146" s="78"/>
      <c r="I146" s="63"/>
    </row>
    <row r="147" spans="1:11" x14ac:dyDescent="0.3">
      <c r="A147" s="78" t="s">
        <v>289</v>
      </c>
      <c r="B147" s="78"/>
      <c r="C147" s="176">
        <f>$B$7*('Valores c. de las uniones'!N128/$B$8)</f>
        <v>72458.849232228182</v>
      </c>
      <c r="D147" s="78" t="s">
        <v>289</v>
      </c>
      <c r="E147" s="78"/>
      <c r="F147" s="176">
        <f>$B$7*('Valores c. de las uniones'!N138/$B$8)</f>
        <v>66558.177979561326</v>
      </c>
      <c r="G147" s="78" t="s">
        <v>289</v>
      </c>
      <c r="H147" s="78"/>
      <c r="I147" s="176">
        <f>$B$7*('Valores c. de las uniones'!N148/$B$8)</f>
        <v>95889.085095816656</v>
      </c>
    </row>
    <row r="148" spans="1:11" x14ac:dyDescent="0.3">
      <c r="A148" s="78" t="s">
        <v>386</v>
      </c>
      <c r="B148" s="78"/>
      <c r="C148" s="176">
        <f>C133*C134*'Valores c. de las uniones'!AJ133</f>
        <v>541041.696</v>
      </c>
      <c r="D148" s="78" t="s">
        <v>386</v>
      </c>
      <c r="E148" s="78"/>
      <c r="F148" s="176">
        <f>C133*C134*'Valores c. de las uniones'!AJ140</f>
        <v>541041.696</v>
      </c>
      <c r="G148" s="78" t="s">
        <v>386</v>
      </c>
      <c r="H148" s="78"/>
      <c r="I148" s="176">
        <f>C133*C134*'Valores c. de las uniones'!AJ150</f>
        <v>541041.696</v>
      </c>
      <c r="J148" s="63"/>
      <c r="K148" s="63"/>
    </row>
    <row r="149" spans="1:11" x14ac:dyDescent="0.3">
      <c r="A149" s="65"/>
      <c r="B149" s="65"/>
      <c r="C149" s="65"/>
      <c r="D149" s="65"/>
      <c r="E149" s="65"/>
      <c r="F149" s="65"/>
      <c r="G149" s="172" t="s">
        <v>391</v>
      </c>
      <c r="H149" s="65"/>
      <c r="I149" s="176">
        <f>C133*C134*'Valores c. de las uniones'!AP160</f>
        <v>3269066.666666666</v>
      </c>
      <c r="J149" s="63"/>
      <c r="K149" s="63"/>
    </row>
    <row r="150" spans="1:11" x14ac:dyDescent="0.3">
      <c r="J150" s="63"/>
      <c r="K150" s="63"/>
    </row>
    <row r="151" spans="1:11" x14ac:dyDescent="0.3">
      <c r="J151" s="63"/>
      <c r="K151" s="63"/>
    </row>
    <row r="152" spans="1:11" x14ac:dyDescent="0.3">
      <c r="J152" s="63"/>
      <c r="K152" s="63"/>
    </row>
  </sheetData>
  <sheetProtection algorithmName="SHA-512" hashValue="JbOCPC6RehRtAX2/9G93J54+0VrNFaG0h6Y9d+J4cSLsqzjgoy1jH7kwTyqYJ7XOD0gj3CXQAhM9BoYmAD1PxQ==" saltValue="rWfl4++4jZ48bndjYdhdYQ==" spinCount="100000" sheet="1" objects="1" scenarios="1"/>
  <mergeCells count="42">
    <mergeCell ref="A12:A13"/>
    <mergeCell ref="A10:C10"/>
    <mergeCell ref="A35:C35"/>
    <mergeCell ref="A57:C57"/>
    <mergeCell ref="A15:A21"/>
    <mergeCell ref="A25:B25"/>
    <mergeCell ref="A111:B111"/>
    <mergeCell ref="D111:E111"/>
    <mergeCell ref="G111:H111"/>
    <mergeCell ref="A90:C90"/>
    <mergeCell ref="A123:C123"/>
    <mergeCell ref="A92:A93"/>
    <mergeCell ref="A95:A102"/>
    <mergeCell ref="A106:A108"/>
    <mergeCell ref="H94:I98"/>
    <mergeCell ref="H101:I105"/>
    <mergeCell ref="D25:E25"/>
    <mergeCell ref="G25:H25"/>
    <mergeCell ref="A49:B49"/>
    <mergeCell ref="A78:B78"/>
    <mergeCell ref="D78:E78"/>
    <mergeCell ref="G78:H78"/>
    <mergeCell ref="A37:A38"/>
    <mergeCell ref="A40:A45"/>
    <mergeCell ref="A59:A60"/>
    <mergeCell ref="A62:A69"/>
    <mergeCell ref="A73:A75"/>
    <mergeCell ref="H57:H66"/>
    <mergeCell ref="H70:H75"/>
    <mergeCell ref="A143:B143"/>
    <mergeCell ref="D143:E143"/>
    <mergeCell ref="G143:H143"/>
    <mergeCell ref="A125:A126"/>
    <mergeCell ref="A128:A134"/>
    <mergeCell ref="A138:A140"/>
    <mergeCell ref="H123:H132"/>
    <mergeCell ref="H136:H141"/>
    <mergeCell ref="G3:H8"/>
    <mergeCell ref="G11:H15"/>
    <mergeCell ref="G18:H22"/>
    <mergeCell ref="G36:H40"/>
    <mergeCell ref="G43:H47"/>
  </mergeCells>
  <phoneticPr fontId="2" type="noConversion"/>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C8486886-DB88-45C4-A4BE-A4FD66C9572F}">
          <x14:formula1>
            <xm:f>'Valores c. de las uniones'!$J$4:$J$5</xm:f>
          </x14:formula1>
          <xm:sqref>C26 C79 C112 C144</xm:sqref>
        </x14:dataValidation>
        <x14:dataValidation type="list" allowBlank="1" showInputMessage="1" showErrorMessage="1" xr:uid="{2588B5B8-5F2B-4724-A5A6-EA8635B66AB3}">
          <x14:formula1>
            <xm:f>'Valores c. de las uniones'!$J$14:$J$15</xm:f>
          </x14:formula1>
          <xm:sqref>F26 C50 F79 F112 F144</xm:sqref>
        </x14:dataValidation>
        <x14:dataValidation type="list" allowBlank="1" showInputMessage="1" showErrorMessage="1" xr:uid="{2EBA0A5D-25A6-4AB5-AC11-23B584364717}">
          <x14:formula1>
            <xm:f>'Valores c. de las uniones'!$Z$2:$Z$3</xm:f>
          </x14:formula1>
          <xm:sqref>C27</xm:sqref>
        </x14:dataValidation>
        <x14:dataValidation type="list" allowBlank="1" showInputMessage="1" showErrorMessage="1" xr:uid="{EC4EE778-8D39-47A6-9136-567B9D8286F4}">
          <x14:formula1>
            <xm:f>'Valores c. de las uniones'!$J$25:$J$29</xm:f>
          </x14:formula1>
          <xm:sqref>I26 I79 I112 I144</xm:sqref>
        </x14:dataValidation>
        <x14:dataValidation type="list" allowBlank="1" showInputMessage="1" showErrorMessage="1" xr:uid="{DACC6489-2E2A-4AAB-990D-79FFE18A01F9}">
          <x14:formula1>
            <xm:f>'Valores c. de las uniones'!$X$66:$X$67</xm:f>
          </x14:formula1>
          <xm:sqref>F80 F113 F145</xm:sqref>
        </x14:dataValidation>
        <x14:dataValidation type="list" allowBlank="1" showInputMessage="1" showErrorMessage="1" xr:uid="{0B0541F3-42BB-4827-AC80-E94343492FC3}">
          <x14:formula1>
            <xm:f>'Valores c. de las uniones'!$Y$2:$Y$4</xm:f>
          </x14:formula1>
          <xm:sqref>F27 C51</xm:sqref>
        </x14:dataValidation>
        <x14:dataValidation type="list" allowBlank="1" showInputMessage="1" showErrorMessage="1" xr:uid="{251AABFD-5FD5-4BD9-AD92-CBF0532FE2C1}">
          <x14:formula1>
            <xm:f>'Valores de cálculo'!$C$21:$G$21</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60FB7-DAD2-45F5-9DE0-55B4BEEF8AB8}">
  <dimension ref="A1:AR11"/>
  <sheetViews>
    <sheetView zoomScale="85" zoomScaleNormal="85" workbookViewId="0">
      <selection activeCell="M14" sqref="M14"/>
    </sheetView>
  </sheetViews>
  <sheetFormatPr baseColWidth="10" defaultRowHeight="14.4" x14ac:dyDescent="0.3"/>
  <cols>
    <col min="1" max="1" width="28.6640625" customWidth="1"/>
    <col min="3" max="3" width="11.88671875" customWidth="1"/>
    <col min="4" max="4" width="12.5546875" customWidth="1"/>
    <col min="5" max="5" width="23.88671875" customWidth="1"/>
    <col min="6" max="6" width="19.44140625" bestFit="1" customWidth="1"/>
    <col min="7" max="7" width="15" customWidth="1"/>
    <col min="14" max="14" width="29.21875" customWidth="1"/>
    <col min="15" max="15" width="5.33203125" bestFit="1" customWidth="1"/>
    <col min="16" max="16" width="4.5546875" bestFit="1" customWidth="1"/>
    <col min="17" max="17" width="6" bestFit="1" customWidth="1"/>
    <col min="18" max="18" width="6" customWidth="1"/>
    <col min="19" max="19" width="4.88671875" bestFit="1" customWidth="1"/>
    <col min="20" max="20" width="5.33203125" bestFit="1" customWidth="1"/>
    <col min="21" max="21" width="5" bestFit="1" customWidth="1"/>
    <col min="22" max="22" width="6" bestFit="1" customWidth="1"/>
    <col min="23" max="23" width="5.33203125" bestFit="1" customWidth="1"/>
    <col min="24" max="24" width="4.88671875" bestFit="1" customWidth="1"/>
    <col min="25" max="25" width="5.33203125" bestFit="1" customWidth="1"/>
    <col min="26" max="26" width="5" bestFit="1" customWidth="1"/>
    <col min="27" max="27" width="6" bestFit="1" customWidth="1"/>
    <col min="28" max="28" width="5.33203125" bestFit="1" customWidth="1"/>
    <col min="29" max="29" width="4.88671875" bestFit="1" customWidth="1"/>
    <col min="30" max="30" width="6" bestFit="1" customWidth="1"/>
    <col min="31" max="31" width="5.6640625" bestFit="1" customWidth="1"/>
    <col min="32" max="32" width="6.6640625" bestFit="1" customWidth="1"/>
    <col min="33" max="33" width="6" bestFit="1" customWidth="1"/>
    <col min="34" max="34" width="5.5546875" bestFit="1" customWidth="1"/>
    <col min="35" max="35" width="6" bestFit="1" customWidth="1"/>
    <col min="36" max="36" width="5.6640625" bestFit="1" customWidth="1"/>
    <col min="37" max="37" width="6.6640625" bestFit="1" customWidth="1"/>
    <col min="38" max="38" width="6" bestFit="1" customWidth="1"/>
    <col min="39" max="39" width="5.5546875" bestFit="1" customWidth="1"/>
    <col min="40" max="40" width="6" bestFit="1" customWidth="1"/>
    <col min="41" max="41" width="5.6640625" bestFit="1" customWidth="1"/>
    <col min="42" max="42" width="6.6640625" bestFit="1" customWidth="1"/>
    <col min="43" max="43" width="6" bestFit="1" customWidth="1"/>
    <col min="44" max="44" width="5.5546875" bestFit="1" customWidth="1"/>
  </cols>
  <sheetData>
    <row r="1" spans="1:44" x14ac:dyDescent="0.3">
      <c r="A1" s="263" t="s">
        <v>0</v>
      </c>
      <c r="B1" s="263"/>
      <c r="C1" s="264"/>
      <c r="D1" s="1"/>
      <c r="E1" s="260" t="s">
        <v>4</v>
      </c>
      <c r="F1" s="260"/>
      <c r="G1" s="260"/>
      <c r="H1" s="260"/>
      <c r="I1" s="260"/>
      <c r="J1" s="260"/>
      <c r="K1" s="260"/>
      <c r="L1" s="260"/>
      <c r="N1" s="20" t="s">
        <v>92</v>
      </c>
      <c r="O1" s="5" t="s">
        <v>98</v>
      </c>
      <c r="P1" s="5" t="s">
        <v>99</v>
      </c>
      <c r="Q1" s="5" t="s">
        <v>97</v>
      </c>
      <c r="R1" s="5" t="s">
        <v>96</v>
      </c>
      <c r="S1" s="5" t="s">
        <v>93</v>
      </c>
      <c r="T1" s="5" t="s">
        <v>103</v>
      </c>
      <c r="U1" s="5" t="s">
        <v>104</v>
      </c>
      <c r="V1" s="5" t="s">
        <v>102</v>
      </c>
      <c r="W1" s="5" t="s">
        <v>101</v>
      </c>
      <c r="X1" s="5" t="s">
        <v>100</v>
      </c>
      <c r="Y1" s="5" t="s">
        <v>108</v>
      </c>
      <c r="Z1" s="5" t="s">
        <v>109</v>
      </c>
      <c r="AA1" s="5" t="s">
        <v>107</v>
      </c>
      <c r="AB1" s="5" t="s">
        <v>106</v>
      </c>
      <c r="AC1" s="5" t="s">
        <v>105</v>
      </c>
      <c r="AD1" s="5" t="s">
        <v>113</v>
      </c>
      <c r="AE1" s="5" t="s">
        <v>114</v>
      </c>
      <c r="AF1" s="5" t="s">
        <v>112</v>
      </c>
      <c r="AG1" s="5" t="s">
        <v>111</v>
      </c>
      <c r="AH1" s="5" t="s">
        <v>110</v>
      </c>
      <c r="AI1" s="5" t="s">
        <v>118</v>
      </c>
      <c r="AJ1" s="5" t="s">
        <v>119</v>
      </c>
      <c r="AK1" s="5" t="s">
        <v>117</v>
      </c>
      <c r="AL1" s="5" t="s">
        <v>116</v>
      </c>
      <c r="AM1" s="5" t="s">
        <v>115</v>
      </c>
      <c r="AN1" s="5" t="s">
        <v>123</v>
      </c>
      <c r="AO1" s="5" t="s">
        <v>124</v>
      </c>
      <c r="AP1" s="5" t="s">
        <v>122</v>
      </c>
      <c r="AQ1" s="5" t="s">
        <v>121</v>
      </c>
      <c r="AR1" s="5" t="s">
        <v>120</v>
      </c>
    </row>
    <row r="2" spans="1:44" x14ac:dyDescent="0.3">
      <c r="A2" s="257" t="s">
        <v>1</v>
      </c>
      <c r="B2" s="257"/>
      <c r="C2" s="258"/>
      <c r="D2" s="1"/>
      <c r="E2" s="218" t="s">
        <v>5</v>
      </c>
      <c r="F2" s="218" t="s">
        <v>6</v>
      </c>
      <c r="G2" s="218" t="s">
        <v>7</v>
      </c>
      <c r="H2" s="219" t="s">
        <v>8</v>
      </c>
      <c r="I2" s="219"/>
      <c r="J2" s="219"/>
      <c r="K2" s="219"/>
      <c r="L2" s="219"/>
      <c r="N2" s="21" t="s">
        <v>94</v>
      </c>
      <c r="O2" s="6">
        <v>1.3</v>
      </c>
      <c r="P2" s="6">
        <v>1.3</v>
      </c>
      <c r="Q2" s="6">
        <v>1.3</v>
      </c>
      <c r="R2" s="6">
        <v>1.3</v>
      </c>
      <c r="S2" s="6">
        <v>1.3</v>
      </c>
      <c r="T2" s="6">
        <v>1.3</v>
      </c>
      <c r="U2" s="6">
        <v>1.3</v>
      </c>
      <c r="V2" s="6">
        <v>1.3</v>
      </c>
      <c r="W2" s="6">
        <v>1.3</v>
      </c>
      <c r="X2" s="6">
        <v>1.3</v>
      </c>
      <c r="Y2" s="6">
        <v>1.3</v>
      </c>
      <c r="Z2" s="6">
        <v>1.3</v>
      </c>
      <c r="AA2" s="6">
        <v>1.3</v>
      </c>
      <c r="AB2" s="6">
        <v>1.3</v>
      </c>
      <c r="AC2" s="6">
        <v>1.3</v>
      </c>
      <c r="AD2" s="6">
        <v>1.25</v>
      </c>
      <c r="AE2" s="6">
        <v>1.25</v>
      </c>
      <c r="AF2" s="6">
        <v>1.25</v>
      </c>
      <c r="AG2" s="6">
        <v>1.25</v>
      </c>
      <c r="AH2" s="6">
        <v>1.25</v>
      </c>
      <c r="AI2" s="6">
        <v>1.25</v>
      </c>
      <c r="AJ2" s="6">
        <v>1.25</v>
      </c>
      <c r="AK2" s="6">
        <v>1.25</v>
      </c>
      <c r="AL2" s="6">
        <v>1.25</v>
      </c>
      <c r="AM2" s="6">
        <v>1.25</v>
      </c>
      <c r="AN2" s="6">
        <v>1.25</v>
      </c>
      <c r="AO2" s="6">
        <v>1.25</v>
      </c>
      <c r="AP2" s="6">
        <v>1.25</v>
      </c>
      <c r="AQ2" s="6">
        <v>1.25</v>
      </c>
      <c r="AR2" s="6">
        <v>1.25</v>
      </c>
    </row>
    <row r="3" spans="1:44" x14ac:dyDescent="0.3">
      <c r="A3" s="2" t="s">
        <v>3</v>
      </c>
      <c r="B3" s="262">
        <v>1.3</v>
      </c>
      <c r="C3" s="262"/>
      <c r="E3" s="218"/>
      <c r="F3" s="218"/>
      <c r="G3" s="218"/>
      <c r="H3" s="5" t="s">
        <v>9</v>
      </c>
      <c r="I3" s="5" t="s">
        <v>10</v>
      </c>
      <c r="J3" s="5" t="s">
        <v>11</v>
      </c>
      <c r="K3" s="5" t="s">
        <v>12</v>
      </c>
      <c r="L3" s="5" t="s">
        <v>13</v>
      </c>
      <c r="N3" s="21" t="s">
        <v>95</v>
      </c>
      <c r="O3" s="6">
        <v>0.9</v>
      </c>
      <c r="P3" s="6">
        <v>1.1000000000000001</v>
      </c>
      <c r="Q3" s="6">
        <v>0.8</v>
      </c>
      <c r="R3" s="6">
        <v>0.7</v>
      </c>
      <c r="S3" s="6">
        <v>0.6</v>
      </c>
      <c r="T3" s="6">
        <v>0.9</v>
      </c>
      <c r="U3" s="6">
        <v>1.1000000000000001</v>
      </c>
      <c r="V3" s="6">
        <v>0.8</v>
      </c>
      <c r="W3" s="6">
        <v>0.7</v>
      </c>
      <c r="X3" s="6">
        <v>0.6</v>
      </c>
      <c r="Y3" s="6">
        <v>0.7</v>
      </c>
      <c r="Z3" s="6">
        <v>0.9</v>
      </c>
      <c r="AA3" s="6">
        <v>0.65</v>
      </c>
      <c r="AB3" s="6">
        <v>0.55000000000000004</v>
      </c>
      <c r="AC3" s="6">
        <v>0.5</v>
      </c>
      <c r="AD3" s="6">
        <v>0.9</v>
      </c>
      <c r="AE3" s="6">
        <v>1.1000000000000001</v>
      </c>
      <c r="AF3" s="6">
        <v>0.8</v>
      </c>
      <c r="AG3" s="6">
        <v>0.7</v>
      </c>
      <c r="AH3" s="6">
        <v>0.6</v>
      </c>
      <c r="AI3" s="6">
        <v>0.9</v>
      </c>
      <c r="AJ3" s="6">
        <v>1.1000000000000001</v>
      </c>
      <c r="AK3" s="6">
        <v>0.8</v>
      </c>
      <c r="AL3" s="6">
        <v>0.7</v>
      </c>
      <c r="AM3" s="6">
        <v>0.6</v>
      </c>
      <c r="AN3" s="6">
        <v>0.7</v>
      </c>
      <c r="AO3" s="6">
        <v>0.9</v>
      </c>
      <c r="AP3" s="6">
        <v>0.65</v>
      </c>
      <c r="AQ3" s="6">
        <v>0.55000000000000004</v>
      </c>
      <c r="AR3" s="6">
        <v>0.5</v>
      </c>
    </row>
    <row r="4" spans="1:44" x14ac:dyDescent="0.3">
      <c r="A4" s="2" t="s">
        <v>2</v>
      </c>
      <c r="B4" s="262">
        <v>1.25</v>
      </c>
      <c r="C4" s="262"/>
      <c r="E4" s="261" t="s">
        <v>14</v>
      </c>
      <c r="F4" s="218" t="s">
        <v>15</v>
      </c>
      <c r="G4" s="5">
        <v>1</v>
      </c>
      <c r="H4" s="6">
        <v>0.6</v>
      </c>
      <c r="I4" s="6">
        <v>0.7</v>
      </c>
      <c r="J4" s="6">
        <v>0.8</v>
      </c>
      <c r="K4" s="6">
        <v>0.9</v>
      </c>
      <c r="L4" s="6">
        <v>1.1000000000000001</v>
      </c>
      <c r="N4" s="2" t="s">
        <v>127</v>
      </c>
      <c r="O4" s="13">
        <v>0.67</v>
      </c>
      <c r="P4" s="13">
        <v>0.67</v>
      </c>
      <c r="Q4" s="13">
        <v>0.67</v>
      </c>
      <c r="R4" s="13">
        <v>0.67</v>
      </c>
      <c r="S4" s="13">
        <v>0.67</v>
      </c>
      <c r="T4" s="13">
        <v>0.67</v>
      </c>
      <c r="U4" s="13">
        <v>0.67</v>
      </c>
      <c r="V4" s="13">
        <v>0.67</v>
      </c>
      <c r="W4" s="13">
        <v>0.67</v>
      </c>
      <c r="X4" s="13">
        <v>0.67</v>
      </c>
      <c r="Y4" s="13">
        <v>0.67</v>
      </c>
      <c r="Z4" s="13">
        <v>0.67</v>
      </c>
      <c r="AA4" s="13">
        <v>0.67</v>
      </c>
      <c r="AB4" s="13">
        <v>0.67</v>
      </c>
      <c r="AC4" s="13">
        <v>0.67</v>
      </c>
      <c r="AD4" s="13">
        <v>0.67</v>
      </c>
      <c r="AE4" s="13">
        <v>0.67</v>
      </c>
      <c r="AF4" s="13">
        <v>0.67</v>
      </c>
      <c r="AG4" s="13">
        <v>0.67</v>
      </c>
      <c r="AH4" s="13">
        <v>0.67</v>
      </c>
      <c r="AI4" s="13">
        <v>0.67</v>
      </c>
      <c r="AJ4" s="13">
        <v>0.67</v>
      </c>
      <c r="AK4" s="13">
        <v>0.67</v>
      </c>
      <c r="AL4" s="13">
        <v>0.67</v>
      </c>
      <c r="AM4" s="13">
        <v>0.67</v>
      </c>
      <c r="AN4" s="13">
        <v>0.67</v>
      </c>
      <c r="AO4" s="13">
        <v>0.67</v>
      </c>
      <c r="AP4" s="13">
        <v>0.67</v>
      </c>
      <c r="AQ4" s="13">
        <v>0.67</v>
      </c>
      <c r="AR4" s="13">
        <v>0.67</v>
      </c>
    </row>
    <row r="5" spans="1:44" x14ac:dyDescent="0.3">
      <c r="E5" s="261"/>
      <c r="F5" s="218"/>
      <c r="G5" s="5">
        <v>2</v>
      </c>
      <c r="H5" s="6">
        <v>0.6</v>
      </c>
      <c r="I5" s="6">
        <v>0.7</v>
      </c>
      <c r="J5" s="6">
        <v>0.8</v>
      </c>
      <c r="K5" s="6">
        <v>0.9</v>
      </c>
      <c r="L5" s="6">
        <v>1.1000000000000001</v>
      </c>
      <c r="N5" s="2" t="s">
        <v>130</v>
      </c>
      <c r="O5" s="13">
        <v>0.7</v>
      </c>
      <c r="P5" s="13">
        <v>0.7</v>
      </c>
      <c r="Q5" s="13">
        <v>0.7</v>
      </c>
      <c r="R5" s="13">
        <v>0.7</v>
      </c>
      <c r="S5" s="13">
        <v>0.7</v>
      </c>
      <c r="T5" s="13">
        <v>0.7</v>
      </c>
      <c r="U5" s="13">
        <v>0.7</v>
      </c>
      <c r="V5" s="13">
        <v>0.7</v>
      </c>
      <c r="W5" s="13">
        <v>0.7</v>
      </c>
      <c r="X5" s="13">
        <v>0.7</v>
      </c>
      <c r="Y5" s="13">
        <v>0.7</v>
      </c>
      <c r="Z5" s="13">
        <v>0.7</v>
      </c>
      <c r="AA5" s="13">
        <v>0.7</v>
      </c>
      <c r="AB5" s="13">
        <v>0.7</v>
      </c>
      <c r="AC5" s="13">
        <v>0.7</v>
      </c>
      <c r="AD5" s="13">
        <v>0.7</v>
      </c>
      <c r="AE5" s="13">
        <v>0.7</v>
      </c>
      <c r="AF5" s="13">
        <v>0.7</v>
      </c>
      <c r="AG5" s="13">
        <v>0.7</v>
      </c>
      <c r="AH5" s="13">
        <v>0.7</v>
      </c>
      <c r="AI5" s="13">
        <v>0.7</v>
      </c>
      <c r="AJ5" s="13">
        <v>0.7</v>
      </c>
      <c r="AK5" s="13">
        <v>0.7</v>
      </c>
      <c r="AL5" s="13">
        <v>0.7</v>
      </c>
      <c r="AM5" s="13">
        <v>0.7</v>
      </c>
      <c r="AN5" s="13">
        <v>0.7</v>
      </c>
      <c r="AO5" s="13">
        <v>0.7</v>
      </c>
      <c r="AP5" s="13">
        <v>0.7</v>
      </c>
      <c r="AQ5" s="13">
        <v>0.7</v>
      </c>
      <c r="AR5" s="13">
        <v>0.7</v>
      </c>
    </row>
    <row r="6" spans="1:44" x14ac:dyDescent="0.3">
      <c r="E6" s="261"/>
      <c r="F6" s="218"/>
      <c r="G6" s="5">
        <v>3</v>
      </c>
      <c r="H6" s="6">
        <v>0.5</v>
      </c>
      <c r="I6" s="6">
        <v>0.55000000000000004</v>
      </c>
      <c r="J6" s="6">
        <v>0.65</v>
      </c>
      <c r="K6" s="6">
        <v>0.7</v>
      </c>
      <c r="L6" s="6">
        <v>0.9</v>
      </c>
    </row>
    <row r="7" spans="1:44" x14ac:dyDescent="0.3">
      <c r="A7" s="256" t="s">
        <v>127</v>
      </c>
      <c r="B7" s="257"/>
      <c r="C7" s="258"/>
      <c r="E7" s="259" t="s">
        <v>2</v>
      </c>
      <c r="F7" s="218" t="s">
        <v>16</v>
      </c>
      <c r="G7" s="5">
        <v>1</v>
      </c>
      <c r="H7" s="6">
        <v>0.6</v>
      </c>
      <c r="I7" s="6">
        <v>0.7</v>
      </c>
      <c r="J7" s="6">
        <v>0.8</v>
      </c>
      <c r="K7" s="6">
        <v>0.9</v>
      </c>
      <c r="L7" s="6">
        <v>1.1000000000000001</v>
      </c>
    </row>
    <row r="8" spans="1:44" x14ac:dyDescent="0.3">
      <c r="A8" s="21" t="s">
        <v>128</v>
      </c>
      <c r="B8" s="219">
        <v>0.67</v>
      </c>
      <c r="C8" s="219"/>
      <c r="E8" s="259"/>
      <c r="F8" s="218"/>
      <c r="G8" s="5">
        <v>2</v>
      </c>
      <c r="H8" s="6">
        <v>0.6</v>
      </c>
      <c r="I8" s="6">
        <v>0.7</v>
      </c>
      <c r="J8" s="6">
        <v>0.8</v>
      </c>
      <c r="K8" s="6">
        <v>0.9</v>
      </c>
      <c r="L8" s="6">
        <v>1.1000000000000001</v>
      </c>
    </row>
    <row r="9" spans="1:44" x14ac:dyDescent="0.3">
      <c r="E9" s="259"/>
      <c r="F9" s="218"/>
      <c r="G9" s="5">
        <v>3</v>
      </c>
      <c r="H9" s="6">
        <v>0.5</v>
      </c>
      <c r="I9" s="6">
        <v>0.55000000000000004</v>
      </c>
      <c r="J9" s="6">
        <v>0.65</v>
      </c>
      <c r="K9" s="6">
        <v>0.7</v>
      </c>
      <c r="L9" s="6">
        <v>0.9</v>
      </c>
    </row>
    <row r="10" spans="1:44" x14ac:dyDescent="0.3">
      <c r="A10" s="256" t="s">
        <v>129</v>
      </c>
      <c r="B10" s="257"/>
      <c r="C10" s="258"/>
    </row>
    <row r="11" spans="1:44" x14ac:dyDescent="0.3">
      <c r="A11" s="21" t="s">
        <v>128</v>
      </c>
      <c r="B11" s="219">
        <v>0.7</v>
      </c>
      <c r="C11" s="219"/>
    </row>
  </sheetData>
  <sheetProtection algorithmName="SHA-512" hashValue="wbSlC91qb6ZYzSld8QuWfpqqmUltqhyzqXE4vlc9sUKUUeL0FY5hfSEZYMuGrbIW5jJDqI8x3W9RgKXWXL/O9A==" saltValue="NCUluzb8TT7hHR0yVAmP3w==" spinCount="100000" sheet="1" objects="1" scenarios="1"/>
  <mergeCells count="17">
    <mergeCell ref="F4:F6"/>
    <mergeCell ref="E4:E6"/>
    <mergeCell ref="B3:C3"/>
    <mergeCell ref="B4:C4"/>
    <mergeCell ref="A1:C1"/>
    <mergeCell ref="A2:C2"/>
    <mergeCell ref="H2:L2"/>
    <mergeCell ref="E2:E3"/>
    <mergeCell ref="F2:F3"/>
    <mergeCell ref="G2:G3"/>
    <mergeCell ref="E1:L1"/>
    <mergeCell ref="A7:C7"/>
    <mergeCell ref="B8:C8"/>
    <mergeCell ref="A10:C10"/>
    <mergeCell ref="B11:C11"/>
    <mergeCell ref="F7:F9"/>
    <mergeCell ref="E7:E9"/>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5880E-9D4D-4807-8F6A-3459C4D2CEE4}">
  <dimension ref="A2:CV74"/>
  <sheetViews>
    <sheetView topLeftCell="AD1" zoomScale="25" zoomScaleNormal="25" workbookViewId="0">
      <selection activeCell="M14" sqref="M14"/>
    </sheetView>
  </sheetViews>
  <sheetFormatPr baseColWidth="10" defaultRowHeight="14.4" x14ac:dyDescent="0.3"/>
  <cols>
    <col min="1" max="1" width="32" customWidth="1"/>
    <col min="5" max="6" width="11.5546875" customWidth="1"/>
    <col min="16" max="16" width="49" customWidth="1"/>
    <col min="77" max="79" width="13.88671875" bestFit="1" customWidth="1"/>
  </cols>
  <sheetData>
    <row r="2" spans="1:100" x14ac:dyDescent="0.3">
      <c r="A2" s="279" t="s">
        <v>17</v>
      </c>
      <c r="B2" s="279"/>
      <c r="C2" s="279"/>
      <c r="D2" s="279"/>
      <c r="E2" s="279"/>
      <c r="F2" s="279"/>
      <c r="G2" s="279"/>
      <c r="H2" s="279"/>
      <c r="I2" s="279"/>
      <c r="J2" s="279"/>
      <c r="K2" s="279"/>
      <c r="L2" s="279"/>
      <c r="M2" s="279"/>
      <c r="N2" s="279"/>
      <c r="P2" s="20" t="s">
        <v>91</v>
      </c>
      <c r="Q2" t="s">
        <v>133</v>
      </c>
      <c r="R2" t="s">
        <v>139</v>
      </c>
      <c r="S2" t="s">
        <v>140</v>
      </c>
      <c r="T2" t="s">
        <v>141</v>
      </c>
      <c r="U2" t="s">
        <v>142</v>
      </c>
      <c r="V2" t="s">
        <v>143</v>
      </c>
      <c r="W2" t="s">
        <v>144</v>
      </c>
      <c r="X2" t="s">
        <v>145</v>
      </c>
      <c r="Y2" t="s">
        <v>146</v>
      </c>
      <c r="Z2" t="s">
        <v>147</v>
      </c>
      <c r="AA2" t="s">
        <v>148</v>
      </c>
      <c r="AB2" t="s">
        <v>149</v>
      </c>
      <c r="AC2" t="s">
        <v>150</v>
      </c>
      <c r="AD2" t="s">
        <v>151</v>
      </c>
      <c r="AE2" t="s">
        <v>152</v>
      </c>
      <c r="AF2" t="s">
        <v>153</v>
      </c>
      <c r="AG2" t="s">
        <v>154</v>
      </c>
      <c r="AH2" t="s">
        <v>155</v>
      </c>
      <c r="AI2" t="s">
        <v>156</v>
      </c>
      <c r="AJ2" t="s">
        <v>157</v>
      </c>
      <c r="AK2" t="s">
        <v>158</v>
      </c>
      <c r="AL2" t="s">
        <v>159</v>
      </c>
      <c r="AM2" t="s">
        <v>160</v>
      </c>
      <c r="AN2" t="s">
        <v>161</v>
      </c>
      <c r="AO2" t="s">
        <v>162</v>
      </c>
      <c r="AP2" t="s">
        <v>163</v>
      </c>
      <c r="AQ2" t="s">
        <v>164</v>
      </c>
      <c r="AR2" t="s">
        <v>165</v>
      </c>
      <c r="AS2" t="s">
        <v>166</v>
      </c>
      <c r="AT2" t="s">
        <v>167</v>
      </c>
      <c r="AU2" t="s">
        <v>168</v>
      </c>
      <c r="AV2" t="s">
        <v>169</v>
      </c>
      <c r="AW2" t="s">
        <v>170</v>
      </c>
      <c r="AX2" t="s">
        <v>171</v>
      </c>
      <c r="AY2" t="s">
        <v>172</v>
      </c>
      <c r="AZ2" t="s">
        <v>173</v>
      </c>
      <c r="BA2" t="s">
        <v>174</v>
      </c>
      <c r="BB2" t="s">
        <v>175</v>
      </c>
      <c r="BC2" t="s">
        <v>176</v>
      </c>
      <c r="BD2" t="s">
        <v>177</v>
      </c>
      <c r="BE2" t="s">
        <v>178</v>
      </c>
      <c r="BF2" t="s">
        <v>179</v>
      </c>
      <c r="BG2" t="s">
        <v>180</v>
      </c>
      <c r="BH2" t="s">
        <v>181</v>
      </c>
      <c r="BI2" t="s">
        <v>182</v>
      </c>
      <c r="BJ2" t="s">
        <v>183</v>
      </c>
      <c r="BK2" t="s">
        <v>184</v>
      </c>
      <c r="BL2" t="s">
        <v>185</v>
      </c>
      <c r="BM2" t="s">
        <v>186</v>
      </c>
      <c r="BN2" t="s">
        <v>187</v>
      </c>
      <c r="BO2" t="s">
        <v>188</v>
      </c>
      <c r="BP2" t="s">
        <v>189</v>
      </c>
      <c r="BQ2" t="s">
        <v>190</v>
      </c>
      <c r="BR2" t="s">
        <v>191</v>
      </c>
      <c r="BS2" t="s">
        <v>192</v>
      </c>
      <c r="BT2" t="s">
        <v>193</v>
      </c>
      <c r="BU2" t="s">
        <v>194</v>
      </c>
      <c r="BV2" t="s">
        <v>195</v>
      </c>
      <c r="BW2" t="s">
        <v>196</v>
      </c>
      <c r="BX2" t="s">
        <v>197</v>
      </c>
      <c r="BY2" t="s">
        <v>210</v>
      </c>
      <c r="BZ2" t="s">
        <v>211</v>
      </c>
      <c r="CA2" t="s">
        <v>212</v>
      </c>
      <c r="CB2" t="s">
        <v>213</v>
      </c>
      <c r="CC2" t="s">
        <v>214</v>
      </c>
      <c r="CD2" t="s">
        <v>215</v>
      </c>
      <c r="CE2" t="s">
        <v>216</v>
      </c>
      <c r="CF2" t="s">
        <v>217</v>
      </c>
      <c r="CG2" t="s">
        <v>218</v>
      </c>
      <c r="CH2" t="s">
        <v>219</v>
      </c>
      <c r="CI2" t="s">
        <v>220</v>
      </c>
      <c r="CJ2" t="s">
        <v>221</v>
      </c>
      <c r="CK2" t="s">
        <v>198</v>
      </c>
      <c r="CL2" t="s">
        <v>199</v>
      </c>
      <c r="CM2" t="s">
        <v>200</v>
      </c>
      <c r="CN2" t="s">
        <v>201</v>
      </c>
      <c r="CO2" t="s">
        <v>202</v>
      </c>
      <c r="CP2" t="s">
        <v>203</v>
      </c>
      <c r="CQ2" t="s">
        <v>204</v>
      </c>
      <c r="CR2" t="s">
        <v>205</v>
      </c>
      <c r="CS2" t="s">
        <v>206</v>
      </c>
      <c r="CT2" t="s">
        <v>207</v>
      </c>
      <c r="CU2" t="s">
        <v>208</v>
      </c>
      <c r="CV2" t="s">
        <v>209</v>
      </c>
    </row>
    <row r="3" spans="1:100" ht="14.4" customHeight="1" x14ac:dyDescent="0.3">
      <c r="A3" s="218" t="s">
        <v>18</v>
      </c>
      <c r="B3" s="218"/>
      <c r="C3" s="219" t="s">
        <v>19</v>
      </c>
      <c r="D3" s="219"/>
      <c r="E3" s="219"/>
      <c r="F3" s="219"/>
      <c r="G3" s="219"/>
      <c r="H3" s="219"/>
      <c r="I3" s="219"/>
      <c r="J3" s="219"/>
      <c r="K3" s="219"/>
      <c r="L3" s="219"/>
      <c r="M3" s="219"/>
      <c r="N3" s="219"/>
      <c r="P3" s="19" t="s">
        <v>38</v>
      </c>
    </row>
    <row r="4" spans="1:100" x14ac:dyDescent="0.3">
      <c r="A4" s="218"/>
      <c r="B4" s="218"/>
      <c r="C4" s="5" t="s">
        <v>20</v>
      </c>
      <c r="D4" s="5" t="s">
        <v>21</v>
      </c>
      <c r="E4" s="5" t="s">
        <v>22</v>
      </c>
      <c r="F4" s="5" t="s">
        <v>23</v>
      </c>
      <c r="G4" s="5" t="s">
        <v>24</v>
      </c>
      <c r="H4" s="5" t="s">
        <v>25</v>
      </c>
      <c r="I4" s="5" t="s">
        <v>26</v>
      </c>
      <c r="J4" s="5" t="s">
        <v>27</v>
      </c>
      <c r="K4" s="5" t="s">
        <v>28</v>
      </c>
      <c r="L4" s="5" t="s">
        <v>29</v>
      </c>
      <c r="M4" s="5" t="s">
        <v>30</v>
      </c>
      <c r="N4" s="5" t="s">
        <v>31</v>
      </c>
      <c r="P4" s="5" t="s">
        <v>32</v>
      </c>
      <c r="Q4" s="5">
        <v>14</v>
      </c>
      <c r="R4" s="5">
        <v>14</v>
      </c>
      <c r="S4" s="5">
        <v>14</v>
      </c>
      <c r="T4" s="5">
        <v>16</v>
      </c>
      <c r="U4" s="5">
        <v>16</v>
      </c>
      <c r="V4" s="5">
        <v>16</v>
      </c>
      <c r="W4" s="5">
        <v>18</v>
      </c>
      <c r="X4" s="5">
        <v>18</v>
      </c>
      <c r="Y4" s="5">
        <v>18</v>
      </c>
      <c r="Z4" s="5">
        <v>20</v>
      </c>
      <c r="AA4" s="5">
        <v>20</v>
      </c>
      <c r="AB4" s="5">
        <v>20</v>
      </c>
      <c r="AC4" s="5">
        <v>22</v>
      </c>
      <c r="AD4" s="5">
        <v>22</v>
      </c>
      <c r="AE4" s="5">
        <v>22</v>
      </c>
      <c r="AF4" s="5">
        <v>24</v>
      </c>
      <c r="AG4" s="5">
        <v>24</v>
      </c>
      <c r="AH4" s="5">
        <v>24</v>
      </c>
      <c r="AI4" s="5">
        <v>27</v>
      </c>
      <c r="AJ4" s="5">
        <v>27</v>
      </c>
      <c r="AK4" s="5">
        <v>27</v>
      </c>
      <c r="AL4" s="5">
        <v>30</v>
      </c>
      <c r="AM4" s="5">
        <v>30</v>
      </c>
      <c r="AN4" s="5">
        <v>30</v>
      </c>
      <c r="AO4" s="5">
        <v>35</v>
      </c>
      <c r="AP4" s="5">
        <v>35</v>
      </c>
      <c r="AQ4" s="5">
        <v>35</v>
      </c>
      <c r="AR4" s="5">
        <v>40</v>
      </c>
      <c r="AS4" s="5">
        <v>40</v>
      </c>
      <c r="AT4" s="5">
        <v>40</v>
      </c>
      <c r="AU4" s="5">
        <v>45</v>
      </c>
      <c r="AV4" s="5">
        <v>45</v>
      </c>
      <c r="AW4" s="5">
        <v>45</v>
      </c>
      <c r="AX4" s="5">
        <v>50</v>
      </c>
      <c r="AY4" s="5">
        <v>50</v>
      </c>
      <c r="AZ4" s="5">
        <v>50</v>
      </c>
      <c r="BA4" s="5">
        <v>18</v>
      </c>
      <c r="BB4" s="5">
        <v>18</v>
      </c>
      <c r="BC4" s="5">
        <v>18</v>
      </c>
      <c r="BD4" s="5">
        <v>24</v>
      </c>
      <c r="BE4" s="5">
        <v>24</v>
      </c>
      <c r="BF4" s="5">
        <v>24</v>
      </c>
      <c r="BG4" s="5">
        <v>30</v>
      </c>
      <c r="BH4" s="5">
        <v>30</v>
      </c>
      <c r="BI4" s="5">
        <v>30</v>
      </c>
      <c r="BJ4" s="5">
        <v>35</v>
      </c>
      <c r="BK4" s="5">
        <v>35</v>
      </c>
      <c r="BL4" s="5">
        <v>35</v>
      </c>
      <c r="BM4" s="5">
        <v>40</v>
      </c>
      <c r="BN4" s="5">
        <v>40</v>
      </c>
      <c r="BO4" s="5">
        <v>40</v>
      </c>
      <c r="BP4" s="5">
        <v>50</v>
      </c>
      <c r="BQ4" s="5">
        <v>50</v>
      </c>
      <c r="BR4" s="5">
        <v>50</v>
      </c>
      <c r="BS4" s="5">
        <v>60</v>
      </c>
      <c r="BT4" s="5">
        <v>60</v>
      </c>
      <c r="BU4" s="5">
        <v>60</v>
      </c>
      <c r="BV4" s="5">
        <v>70</v>
      </c>
      <c r="BW4" s="5">
        <v>70</v>
      </c>
      <c r="BX4" s="5">
        <v>70</v>
      </c>
      <c r="BY4" s="5">
        <v>24</v>
      </c>
      <c r="BZ4" s="5">
        <v>24</v>
      </c>
      <c r="CA4" s="5">
        <v>24</v>
      </c>
      <c r="CB4" s="5">
        <v>28</v>
      </c>
      <c r="CC4" s="5">
        <v>28</v>
      </c>
      <c r="CD4" s="5">
        <v>28</v>
      </c>
      <c r="CE4" s="5">
        <v>32</v>
      </c>
      <c r="CF4" s="5">
        <v>32</v>
      </c>
      <c r="CG4" s="5">
        <v>32</v>
      </c>
      <c r="CH4" s="5">
        <v>36</v>
      </c>
      <c r="CI4" s="5">
        <v>36</v>
      </c>
      <c r="CJ4" s="5">
        <v>36</v>
      </c>
      <c r="CK4" s="5">
        <v>24</v>
      </c>
      <c r="CL4" s="5">
        <v>24</v>
      </c>
      <c r="CM4" s="5">
        <v>24</v>
      </c>
      <c r="CN4" s="5">
        <v>28</v>
      </c>
      <c r="CO4" s="5">
        <v>28</v>
      </c>
      <c r="CP4" s="5">
        <v>28</v>
      </c>
      <c r="CQ4" s="5">
        <v>32</v>
      </c>
      <c r="CR4" s="5">
        <v>32</v>
      </c>
      <c r="CS4" s="5">
        <v>32</v>
      </c>
      <c r="CT4" s="5">
        <v>36</v>
      </c>
      <c r="CU4" s="5">
        <v>36</v>
      </c>
      <c r="CV4" s="5">
        <v>36</v>
      </c>
    </row>
    <row r="5" spans="1:100" ht="14.4" customHeight="1" x14ac:dyDescent="0.3">
      <c r="A5" s="268" t="s">
        <v>38</v>
      </c>
      <c r="B5" s="269"/>
      <c r="C5" s="266"/>
      <c r="D5" s="266"/>
      <c r="E5" s="266"/>
      <c r="F5" s="266"/>
      <c r="G5" s="266"/>
      <c r="H5" s="266"/>
      <c r="I5" s="266"/>
      <c r="J5" s="266"/>
      <c r="K5" s="266"/>
      <c r="L5" s="266"/>
      <c r="M5" s="266"/>
      <c r="N5" s="267"/>
      <c r="P5" s="5" t="s">
        <v>33</v>
      </c>
      <c r="Q5" s="5">
        <v>8</v>
      </c>
      <c r="R5" s="5">
        <v>8</v>
      </c>
      <c r="S5" s="5">
        <v>8</v>
      </c>
      <c r="T5" s="5">
        <v>10</v>
      </c>
      <c r="U5" s="5">
        <v>10</v>
      </c>
      <c r="V5" s="5">
        <v>10</v>
      </c>
      <c r="W5" s="5">
        <v>11</v>
      </c>
      <c r="X5" s="5">
        <v>11</v>
      </c>
      <c r="Y5" s="5">
        <v>11</v>
      </c>
      <c r="Z5" s="5">
        <v>12</v>
      </c>
      <c r="AA5" s="5">
        <v>12</v>
      </c>
      <c r="AB5" s="5">
        <v>12</v>
      </c>
      <c r="AC5" s="5">
        <v>13</v>
      </c>
      <c r="AD5" s="5">
        <v>13</v>
      </c>
      <c r="AE5" s="5">
        <v>13</v>
      </c>
      <c r="AF5" s="5">
        <v>14</v>
      </c>
      <c r="AG5" s="5">
        <v>14</v>
      </c>
      <c r="AH5" s="5">
        <v>14</v>
      </c>
      <c r="AI5" s="5">
        <v>16</v>
      </c>
      <c r="AJ5" s="5">
        <v>16</v>
      </c>
      <c r="AK5" s="5">
        <v>16</v>
      </c>
      <c r="AL5" s="5">
        <v>18</v>
      </c>
      <c r="AM5" s="5">
        <v>18</v>
      </c>
      <c r="AN5" s="5">
        <v>18</v>
      </c>
      <c r="AO5" s="5">
        <v>21</v>
      </c>
      <c r="AP5" s="5">
        <v>21</v>
      </c>
      <c r="AQ5" s="5">
        <v>21</v>
      </c>
      <c r="AR5" s="5">
        <v>24</v>
      </c>
      <c r="AS5" s="5">
        <v>24</v>
      </c>
      <c r="AT5" s="5">
        <v>24</v>
      </c>
      <c r="AU5" s="5">
        <v>27</v>
      </c>
      <c r="AV5" s="5">
        <v>27</v>
      </c>
      <c r="AW5" s="5">
        <v>27</v>
      </c>
      <c r="AX5" s="5">
        <v>30</v>
      </c>
      <c r="AY5" s="5">
        <v>30</v>
      </c>
      <c r="AZ5" s="5">
        <v>30</v>
      </c>
      <c r="BA5" s="5">
        <v>11</v>
      </c>
      <c r="BB5" s="5">
        <v>11</v>
      </c>
      <c r="BC5" s="5">
        <v>11</v>
      </c>
      <c r="BD5" s="5">
        <v>14</v>
      </c>
      <c r="BE5" s="5">
        <v>14</v>
      </c>
      <c r="BF5" s="5">
        <v>14</v>
      </c>
      <c r="BG5" s="5">
        <v>18</v>
      </c>
      <c r="BH5" s="5">
        <v>18</v>
      </c>
      <c r="BI5" s="5">
        <v>18</v>
      </c>
      <c r="BJ5" s="5">
        <v>21</v>
      </c>
      <c r="BK5" s="5">
        <v>21</v>
      </c>
      <c r="BL5" s="5">
        <v>21</v>
      </c>
      <c r="BM5" s="5">
        <v>24</v>
      </c>
      <c r="BN5" s="5">
        <v>24</v>
      </c>
      <c r="BO5" s="5">
        <v>24</v>
      </c>
      <c r="BP5" s="5">
        <v>30</v>
      </c>
      <c r="BQ5" s="5">
        <v>30</v>
      </c>
      <c r="BR5" s="5">
        <v>30</v>
      </c>
      <c r="BS5" s="5">
        <v>36</v>
      </c>
      <c r="BT5" s="5">
        <v>36</v>
      </c>
      <c r="BU5" s="5">
        <v>36</v>
      </c>
      <c r="BV5" s="5">
        <v>42</v>
      </c>
      <c r="BW5" s="5">
        <v>42</v>
      </c>
      <c r="BX5" s="5">
        <v>42</v>
      </c>
      <c r="BY5" s="5">
        <v>14</v>
      </c>
      <c r="BZ5" s="5">
        <v>14</v>
      </c>
      <c r="CA5" s="5">
        <v>14</v>
      </c>
      <c r="CB5" s="5">
        <v>16.5</v>
      </c>
      <c r="CC5" s="5">
        <v>16.5</v>
      </c>
      <c r="CD5" s="5">
        <v>16.5</v>
      </c>
      <c r="CE5" s="5">
        <v>19.5</v>
      </c>
      <c r="CF5" s="5">
        <v>19.5</v>
      </c>
      <c r="CG5" s="5">
        <v>19.5</v>
      </c>
      <c r="CH5" s="5">
        <v>22.5</v>
      </c>
      <c r="CI5" s="5">
        <v>22.5</v>
      </c>
      <c r="CJ5" s="5">
        <v>22.5</v>
      </c>
      <c r="CK5" s="5">
        <v>16.5</v>
      </c>
      <c r="CL5" s="5">
        <v>16.5</v>
      </c>
      <c r="CM5" s="5">
        <v>16.5</v>
      </c>
      <c r="CN5" s="5">
        <v>19.5</v>
      </c>
      <c r="CO5" s="5">
        <v>19.5</v>
      </c>
      <c r="CP5" s="5">
        <v>19.5</v>
      </c>
      <c r="CQ5" s="5">
        <v>22.5</v>
      </c>
      <c r="CR5" s="5">
        <v>22.5</v>
      </c>
      <c r="CS5" s="5">
        <v>22.5</v>
      </c>
      <c r="CT5" s="5">
        <v>26</v>
      </c>
      <c r="CU5" s="5">
        <v>26</v>
      </c>
      <c r="CV5" s="5">
        <v>26</v>
      </c>
    </row>
    <row r="6" spans="1:100" x14ac:dyDescent="0.3">
      <c r="A6" s="5" t="s">
        <v>32</v>
      </c>
      <c r="B6" s="5" t="s">
        <v>39</v>
      </c>
      <c r="C6" s="5">
        <v>14</v>
      </c>
      <c r="D6" s="5">
        <v>16</v>
      </c>
      <c r="E6" s="5">
        <v>18</v>
      </c>
      <c r="F6" s="5">
        <v>20</v>
      </c>
      <c r="G6" s="5">
        <v>22</v>
      </c>
      <c r="H6" s="5">
        <v>24</v>
      </c>
      <c r="I6" s="5">
        <v>27</v>
      </c>
      <c r="J6" s="5">
        <v>30</v>
      </c>
      <c r="K6" s="5">
        <v>35</v>
      </c>
      <c r="L6" s="5">
        <v>40</v>
      </c>
      <c r="M6" s="5">
        <v>45</v>
      </c>
      <c r="N6" s="5">
        <v>50</v>
      </c>
      <c r="P6" s="5" t="s">
        <v>34</v>
      </c>
      <c r="Q6" s="5">
        <v>0.4</v>
      </c>
      <c r="R6" s="5">
        <v>0.4</v>
      </c>
      <c r="S6" s="5">
        <v>0.4</v>
      </c>
      <c r="T6" s="5">
        <v>0.4</v>
      </c>
      <c r="U6" s="5">
        <v>0.4</v>
      </c>
      <c r="V6" s="5">
        <v>0.4</v>
      </c>
      <c r="W6" s="5">
        <v>0.4</v>
      </c>
      <c r="X6" s="5">
        <v>0.4</v>
      </c>
      <c r="Y6" s="5">
        <v>0.4</v>
      </c>
      <c r="Z6" s="5">
        <v>0.4</v>
      </c>
      <c r="AA6" s="5">
        <v>0.4</v>
      </c>
      <c r="AB6" s="5">
        <v>0.4</v>
      </c>
      <c r="AC6" s="5">
        <v>0.4</v>
      </c>
      <c r="AD6" s="5">
        <v>0.4</v>
      </c>
      <c r="AE6" s="5">
        <v>0.4</v>
      </c>
      <c r="AF6" s="5">
        <v>0.4</v>
      </c>
      <c r="AG6" s="5">
        <v>0.4</v>
      </c>
      <c r="AH6" s="5">
        <v>0.4</v>
      </c>
      <c r="AI6" s="5">
        <v>0.4</v>
      </c>
      <c r="AJ6" s="5">
        <v>0.4</v>
      </c>
      <c r="AK6" s="5">
        <v>0.4</v>
      </c>
      <c r="AL6" s="5">
        <v>0.4</v>
      </c>
      <c r="AM6" s="5">
        <v>0.4</v>
      </c>
      <c r="AN6" s="5">
        <v>0.4</v>
      </c>
      <c r="AO6" s="5">
        <v>0.4</v>
      </c>
      <c r="AP6" s="5">
        <v>0.4</v>
      </c>
      <c r="AQ6" s="5">
        <v>0.4</v>
      </c>
      <c r="AR6" s="5">
        <v>0.4</v>
      </c>
      <c r="AS6" s="5">
        <v>0.4</v>
      </c>
      <c r="AT6" s="5">
        <v>0.4</v>
      </c>
      <c r="AU6" s="5">
        <v>0.4</v>
      </c>
      <c r="AV6" s="5">
        <v>0.4</v>
      </c>
      <c r="AW6" s="5">
        <v>0.4</v>
      </c>
      <c r="AX6" s="5">
        <v>0.4</v>
      </c>
      <c r="AY6" s="5">
        <v>0.4</v>
      </c>
      <c r="AZ6" s="5">
        <v>0.4</v>
      </c>
      <c r="BA6" s="5">
        <v>0.6</v>
      </c>
      <c r="BB6" s="5">
        <v>0.6</v>
      </c>
      <c r="BC6" s="5">
        <v>0.6</v>
      </c>
      <c r="BD6" s="5">
        <v>0.6</v>
      </c>
      <c r="BE6" s="5">
        <v>0.6</v>
      </c>
      <c r="BF6" s="5">
        <v>0.6</v>
      </c>
      <c r="BG6" s="5">
        <v>0.6</v>
      </c>
      <c r="BH6" s="5">
        <v>0.6</v>
      </c>
      <c r="BI6" s="5">
        <v>0.6</v>
      </c>
      <c r="BJ6" s="5">
        <v>0.6</v>
      </c>
      <c r="BK6" s="5">
        <v>0.6</v>
      </c>
      <c r="BL6" s="5">
        <v>0.6</v>
      </c>
      <c r="BM6" s="5">
        <v>0.6</v>
      </c>
      <c r="BN6" s="5">
        <v>0.6</v>
      </c>
      <c r="BO6" s="5">
        <v>0.6</v>
      </c>
      <c r="BP6" s="5">
        <v>0.6</v>
      </c>
      <c r="BQ6" s="5">
        <v>0.6</v>
      </c>
      <c r="BR6" s="5">
        <v>0.6</v>
      </c>
      <c r="BS6" s="5">
        <v>0.6</v>
      </c>
      <c r="BT6" s="5">
        <v>0.6</v>
      </c>
      <c r="BU6" s="5">
        <v>0.6</v>
      </c>
      <c r="BV6" s="5">
        <v>0.6</v>
      </c>
      <c r="BW6" s="5">
        <v>0.6</v>
      </c>
      <c r="BX6" s="5">
        <v>0.6</v>
      </c>
      <c r="BY6" s="5">
        <v>0.35</v>
      </c>
      <c r="BZ6" s="5">
        <v>0.35</v>
      </c>
      <c r="CA6" s="5">
        <v>0.35</v>
      </c>
      <c r="CB6" s="5">
        <v>0.4</v>
      </c>
      <c r="CC6" s="5">
        <v>0.4</v>
      </c>
      <c r="CD6" s="5">
        <v>0.4</v>
      </c>
      <c r="CE6" s="5">
        <v>0.45</v>
      </c>
      <c r="CF6" s="5">
        <v>0.45</v>
      </c>
      <c r="CG6" s="5">
        <v>0.45</v>
      </c>
      <c r="CH6" s="5">
        <v>0.5</v>
      </c>
      <c r="CI6" s="5">
        <v>0.5</v>
      </c>
      <c r="CJ6" s="5">
        <v>0.5</v>
      </c>
      <c r="CK6" s="5">
        <v>0.4</v>
      </c>
      <c r="CL6" s="5">
        <v>0.4</v>
      </c>
      <c r="CM6" s="5">
        <v>0.4</v>
      </c>
      <c r="CN6" s="5">
        <v>0.45</v>
      </c>
      <c r="CO6" s="5">
        <v>0.45</v>
      </c>
      <c r="CP6" s="5">
        <v>0.45</v>
      </c>
      <c r="CQ6" s="5">
        <v>0.5</v>
      </c>
      <c r="CR6" s="5">
        <v>0.5</v>
      </c>
      <c r="CS6" s="5">
        <v>0.5</v>
      </c>
      <c r="CT6" s="5">
        <v>0.6</v>
      </c>
      <c r="CU6" s="5">
        <v>0.6</v>
      </c>
      <c r="CV6" s="5">
        <v>0.6</v>
      </c>
    </row>
    <row r="7" spans="1:100" x14ac:dyDescent="0.3">
      <c r="A7" s="5" t="s">
        <v>33</v>
      </c>
      <c r="B7" s="5" t="s">
        <v>40</v>
      </c>
      <c r="C7" s="5">
        <v>8</v>
      </c>
      <c r="D7" s="5">
        <v>10</v>
      </c>
      <c r="E7" s="5">
        <v>11</v>
      </c>
      <c r="F7" s="5">
        <v>12</v>
      </c>
      <c r="G7" s="5">
        <v>13</v>
      </c>
      <c r="H7" s="5">
        <v>14</v>
      </c>
      <c r="I7" s="5">
        <v>16</v>
      </c>
      <c r="J7" s="5">
        <v>18</v>
      </c>
      <c r="K7" s="5">
        <v>21</v>
      </c>
      <c r="L7" s="5">
        <v>24</v>
      </c>
      <c r="M7" s="5">
        <v>27</v>
      </c>
      <c r="N7" s="5">
        <v>30</v>
      </c>
      <c r="P7" s="5" t="s">
        <v>35</v>
      </c>
      <c r="Q7" s="5">
        <v>16</v>
      </c>
      <c r="R7" s="5">
        <v>16</v>
      </c>
      <c r="S7" s="5">
        <v>16</v>
      </c>
      <c r="T7" s="5">
        <v>17</v>
      </c>
      <c r="U7" s="5">
        <v>17</v>
      </c>
      <c r="V7" s="5">
        <v>17</v>
      </c>
      <c r="W7" s="5">
        <v>18</v>
      </c>
      <c r="X7" s="5">
        <v>18</v>
      </c>
      <c r="Y7" s="5">
        <v>18</v>
      </c>
      <c r="Z7" s="5">
        <v>19</v>
      </c>
      <c r="AA7" s="5">
        <v>19</v>
      </c>
      <c r="AB7" s="5">
        <v>19</v>
      </c>
      <c r="AC7" s="5">
        <v>20</v>
      </c>
      <c r="AD7" s="5">
        <v>20</v>
      </c>
      <c r="AE7" s="5">
        <v>20</v>
      </c>
      <c r="AF7" s="5">
        <v>22</v>
      </c>
      <c r="AG7" s="5">
        <v>22</v>
      </c>
      <c r="AH7" s="5">
        <v>22</v>
      </c>
      <c r="AI7" s="5">
        <v>22</v>
      </c>
      <c r="AJ7" s="5">
        <v>22</v>
      </c>
      <c r="AK7" s="5">
        <v>22</v>
      </c>
      <c r="AL7" s="5">
        <v>23</v>
      </c>
      <c r="AM7" s="5">
        <v>23</v>
      </c>
      <c r="AN7" s="5">
        <v>23</v>
      </c>
      <c r="AO7" s="5">
        <v>25</v>
      </c>
      <c r="AP7" s="5">
        <v>25</v>
      </c>
      <c r="AQ7" s="5">
        <v>25</v>
      </c>
      <c r="AR7" s="5">
        <v>26</v>
      </c>
      <c r="AS7" s="5">
        <v>26</v>
      </c>
      <c r="AT7" s="5">
        <v>26</v>
      </c>
      <c r="AU7" s="5">
        <v>27</v>
      </c>
      <c r="AV7" s="5">
        <v>27</v>
      </c>
      <c r="AW7" s="5">
        <v>27</v>
      </c>
      <c r="AX7" s="5">
        <v>29</v>
      </c>
      <c r="AY7" s="5">
        <v>29</v>
      </c>
      <c r="AZ7" s="5">
        <v>29</v>
      </c>
      <c r="BA7" s="5">
        <v>18</v>
      </c>
      <c r="BB7" s="5">
        <v>18</v>
      </c>
      <c r="BC7" s="5">
        <v>18</v>
      </c>
      <c r="BD7" s="5">
        <v>21</v>
      </c>
      <c r="BE7" s="5">
        <v>21</v>
      </c>
      <c r="BF7" s="5">
        <v>21</v>
      </c>
      <c r="BG7" s="5">
        <v>23</v>
      </c>
      <c r="BH7" s="5">
        <v>23</v>
      </c>
      <c r="BI7" s="5">
        <v>23</v>
      </c>
      <c r="BJ7" s="5">
        <v>25</v>
      </c>
      <c r="BK7" s="5">
        <v>25</v>
      </c>
      <c r="BL7" s="5">
        <v>25</v>
      </c>
      <c r="BM7" s="5">
        <v>26</v>
      </c>
      <c r="BN7" s="5">
        <v>26</v>
      </c>
      <c r="BO7" s="5">
        <v>26</v>
      </c>
      <c r="BP7" s="5">
        <v>29</v>
      </c>
      <c r="BQ7" s="5">
        <v>29</v>
      </c>
      <c r="BR7" s="5">
        <v>29</v>
      </c>
      <c r="BS7" s="5">
        <v>32</v>
      </c>
      <c r="BT7" s="5">
        <v>32</v>
      </c>
      <c r="BU7" s="5">
        <v>32</v>
      </c>
      <c r="BV7" s="5">
        <v>34</v>
      </c>
      <c r="BW7" s="5">
        <v>34</v>
      </c>
      <c r="BX7" s="5">
        <v>34</v>
      </c>
      <c r="BY7" s="5">
        <v>21</v>
      </c>
      <c r="BZ7" s="5">
        <v>21</v>
      </c>
      <c r="CA7" s="5">
        <v>21</v>
      </c>
      <c r="CB7" s="5">
        <v>24</v>
      </c>
      <c r="CC7" s="5">
        <v>24</v>
      </c>
      <c r="CD7" s="5">
        <v>24</v>
      </c>
      <c r="CE7" s="5">
        <v>26.5</v>
      </c>
      <c r="CF7" s="5">
        <v>26.5</v>
      </c>
      <c r="CG7" s="5">
        <v>26.5</v>
      </c>
      <c r="CH7" s="5">
        <v>29</v>
      </c>
      <c r="CI7" s="5">
        <v>29</v>
      </c>
      <c r="CJ7" s="5">
        <v>29</v>
      </c>
      <c r="CK7" s="5">
        <v>24</v>
      </c>
      <c r="CL7" s="5">
        <v>24</v>
      </c>
      <c r="CM7" s="5">
        <v>24</v>
      </c>
      <c r="CN7" s="5">
        <v>26.5</v>
      </c>
      <c r="CO7" s="5">
        <v>26.5</v>
      </c>
      <c r="CP7" s="5">
        <v>26.5</v>
      </c>
      <c r="CQ7" s="5">
        <v>29</v>
      </c>
      <c r="CR7" s="5">
        <v>29</v>
      </c>
      <c r="CS7" s="5">
        <v>29</v>
      </c>
      <c r="CT7" s="5">
        <v>31</v>
      </c>
      <c r="CU7" s="5">
        <v>31</v>
      </c>
      <c r="CV7" s="5">
        <v>31</v>
      </c>
    </row>
    <row r="8" spans="1:100" x14ac:dyDescent="0.3">
      <c r="A8" s="5" t="s">
        <v>34</v>
      </c>
      <c r="B8" s="5" t="s">
        <v>41</v>
      </c>
      <c r="C8" s="5">
        <v>0.4</v>
      </c>
      <c r="D8" s="5">
        <v>0.4</v>
      </c>
      <c r="E8" s="5">
        <v>0.4</v>
      </c>
      <c r="F8" s="5">
        <v>0.4</v>
      </c>
      <c r="G8" s="5">
        <v>0.4</v>
      </c>
      <c r="H8" s="5">
        <v>0.4</v>
      </c>
      <c r="I8" s="5">
        <v>0.4</v>
      </c>
      <c r="J8" s="5">
        <v>0.4</v>
      </c>
      <c r="K8" s="5">
        <v>0.4</v>
      </c>
      <c r="L8" s="5">
        <v>0.4</v>
      </c>
      <c r="M8" s="5">
        <v>0.4</v>
      </c>
      <c r="N8" s="5">
        <v>0.4</v>
      </c>
      <c r="P8" s="5" t="s">
        <v>36</v>
      </c>
      <c r="Q8" s="7">
        <v>2</v>
      </c>
      <c r="R8" s="7">
        <v>2</v>
      </c>
      <c r="S8" s="7">
        <v>2</v>
      </c>
      <c r="T8" s="7">
        <v>2.2000000000000002</v>
      </c>
      <c r="U8" s="7">
        <v>2.2000000000000002</v>
      </c>
      <c r="V8" s="7">
        <v>2.2000000000000002</v>
      </c>
      <c r="W8" s="7">
        <v>2.2000000000000002</v>
      </c>
      <c r="X8" s="7">
        <v>2.2000000000000002</v>
      </c>
      <c r="Y8" s="7">
        <v>2.2000000000000002</v>
      </c>
      <c r="Z8" s="7">
        <v>2.2999999999999998</v>
      </c>
      <c r="AA8" s="7">
        <v>2.2999999999999998</v>
      </c>
      <c r="AB8" s="7">
        <v>2.2999999999999998</v>
      </c>
      <c r="AC8" s="7">
        <v>2.4</v>
      </c>
      <c r="AD8" s="7">
        <v>2.4</v>
      </c>
      <c r="AE8" s="7">
        <v>2.4</v>
      </c>
      <c r="AF8" s="7">
        <v>2.5</v>
      </c>
      <c r="AG8" s="7">
        <v>2.5</v>
      </c>
      <c r="AH8" s="7">
        <v>2.5</v>
      </c>
      <c r="AI8" s="7">
        <v>2.6</v>
      </c>
      <c r="AJ8" s="7">
        <v>2.6</v>
      </c>
      <c r="AK8" s="7">
        <v>2.6</v>
      </c>
      <c r="AL8" s="7">
        <v>2.7</v>
      </c>
      <c r="AM8" s="7">
        <v>2.7</v>
      </c>
      <c r="AN8" s="7">
        <v>2.7</v>
      </c>
      <c r="AO8" s="7">
        <v>2.8</v>
      </c>
      <c r="AP8" s="7">
        <v>2.8</v>
      </c>
      <c r="AQ8" s="7">
        <v>2.8</v>
      </c>
      <c r="AR8" s="7">
        <v>2.9</v>
      </c>
      <c r="AS8" s="7">
        <v>2.9</v>
      </c>
      <c r="AT8" s="7">
        <v>2.9</v>
      </c>
      <c r="AU8" s="7">
        <v>3.1</v>
      </c>
      <c r="AV8" s="7">
        <v>3.1</v>
      </c>
      <c r="AW8" s="7">
        <v>3.1</v>
      </c>
      <c r="AX8" s="7">
        <v>3.2</v>
      </c>
      <c r="AY8" s="7">
        <v>3.2</v>
      </c>
      <c r="AZ8" s="7">
        <v>3.2</v>
      </c>
      <c r="BA8" s="7">
        <v>7.5</v>
      </c>
      <c r="BB8" s="7">
        <v>7.5</v>
      </c>
      <c r="BC8" s="7">
        <v>7.5</v>
      </c>
      <c r="BD8" s="7">
        <v>7.8</v>
      </c>
      <c r="BE8" s="7">
        <v>7.8</v>
      </c>
      <c r="BF8" s="7">
        <v>7.8</v>
      </c>
      <c r="BG8" s="7">
        <v>8</v>
      </c>
      <c r="BH8" s="7">
        <v>8</v>
      </c>
      <c r="BI8" s="7">
        <v>8</v>
      </c>
      <c r="BJ8" s="7">
        <v>8.1</v>
      </c>
      <c r="BK8" s="7">
        <v>8.1</v>
      </c>
      <c r="BL8" s="7">
        <v>8.1</v>
      </c>
      <c r="BM8" s="7">
        <v>8.3000000000000007</v>
      </c>
      <c r="BN8" s="7">
        <v>8.3000000000000007</v>
      </c>
      <c r="BO8" s="7">
        <v>8.3000000000000007</v>
      </c>
      <c r="BP8" s="7">
        <v>9.3000000000000007</v>
      </c>
      <c r="BQ8" s="7">
        <v>9.3000000000000007</v>
      </c>
      <c r="BR8" s="7">
        <v>9.3000000000000007</v>
      </c>
      <c r="BS8" s="7">
        <v>10.5</v>
      </c>
      <c r="BT8" s="7">
        <v>10.5</v>
      </c>
      <c r="BU8" s="7">
        <v>10.5</v>
      </c>
      <c r="BV8" s="7">
        <v>13.5</v>
      </c>
      <c r="BW8" s="7">
        <v>13.5</v>
      </c>
      <c r="BX8" s="7">
        <v>13.5</v>
      </c>
      <c r="BY8" s="7">
        <v>2.4</v>
      </c>
      <c r="BZ8" s="7">
        <v>2.4</v>
      </c>
      <c r="CA8" s="7">
        <v>2.4</v>
      </c>
      <c r="CB8" s="7">
        <v>2.7</v>
      </c>
      <c r="CC8" s="7">
        <v>2.7</v>
      </c>
      <c r="CD8" s="7">
        <v>2.7</v>
      </c>
      <c r="CE8" s="7">
        <v>3</v>
      </c>
      <c r="CF8" s="7">
        <v>3</v>
      </c>
      <c r="CG8" s="7">
        <v>3</v>
      </c>
      <c r="CH8" s="7">
        <v>3.3</v>
      </c>
      <c r="CI8" s="7">
        <v>3.3</v>
      </c>
      <c r="CJ8" s="7">
        <v>3.3</v>
      </c>
      <c r="CK8" s="7">
        <v>2.7</v>
      </c>
      <c r="CL8" s="7">
        <v>2.7</v>
      </c>
      <c r="CM8" s="7">
        <v>2.7</v>
      </c>
      <c r="CN8" s="7">
        <v>3</v>
      </c>
      <c r="CO8" s="7">
        <v>3</v>
      </c>
      <c r="CP8" s="7">
        <v>3</v>
      </c>
      <c r="CQ8" s="7">
        <v>3.3</v>
      </c>
      <c r="CR8" s="7">
        <v>3.3</v>
      </c>
      <c r="CS8" s="7">
        <v>3.3</v>
      </c>
      <c r="CT8" s="7">
        <v>2.6</v>
      </c>
      <c r="CU8" s="7">
        <v>2.6</v>
      </c>
      <c r="CV8" s="7">
        <v>2.6</v>
      </c>
    </row>
    <row r="9" spans="1:100" x14ac:dyDescent="0.3">
      <c r="A9" s="5" t="s">
        <v>35</v>
      </c>
      <c r="B9" s="5" t="s">
        <v>42</v>
      </c>
      <c r="C9" s="5">
        <v>16</v>
      </c>
      <c r="D9" s="5">
        <v>17</v>
      </c>
      <c r="E9" s="5">
        <v>18</v>
      </c>
      <c r="F9" s="5">
        <v>19</v>
      </c>
      <c r="G9" s="5">
        <v>20</v>
      </c>
      <c r="H9" s="5">
        <v>22</v>
      </c>
      <c r="I9" s="5">
        <v>22</v>
      </c>
      <c r="J9" s="5">
        <v>23</v>
      </c>
      <c r="K9" s="5">
        <v>25</v>
      </c>
      <c r="L9" s="5">
        <v>26</v>
      </c>
      <c r="M9" s="5">
        <v>27</v>
      </c>
      <c r="N9" s="5">
        <v>29</v>
      </c>
      <c r="P9" s="5" t="s">
        <v>37</v>
      </c>
      <c r="Q9" s="7">
        <v>3</v>
      </c>
      <c r="R9" s="7">
        <v>3</v>
      </c>
      <c r="S9" s="7">
        <v>3</v>
      </c>
      <c r="T9" s="7">
        <v>3.2</v>
      </c>
      <c r="U9" s="7">
        <v>3.2</v>
      </c>
      <c r="V9" s="7">
        <v>3.2</v>
      </c>
      <c r="W9" s="7">
        <v>3.4</v>
      </c>
      <c r="X9" s="7">
        <v>3.4</v>
      </c>
      <c r="Y9" s="7">
        <v>3.4</v>
      </c>
      <c r="Z9" s="7">
        <v>3.6</v>
      </c>
      <c r="AA9" s="7">
        <v>3.6</v>
      </c>
      <c r="AB9" s="7">
        <v>3.6</v>
      </c>
      <c r="AC9" s="7">
        <v>3.8</v>
      </c>
      <c r="AD9" s="7">
        <v>3.8</v>
      </c>
      <c r="AE9" s="7">
        <v>3.8</v>
      </c>
      <c r="AF9" s="7">
        <v>4</v>
      </c>
      <c r="AG9" s="7">
        <v>4</v>
      </c>
      <c r="AH9" s="7">
        <v>4</v>
      </c>
      <c r="AI9" s="7">
        <v>4</v>
      </c>
      <c r="AJ9" s="7">
        <v>4</v>
      </c>
      <c r="AK9" s="7">
        <v>4</v>
      </c>
      <c r="AL9" s="7">
        <v>4</v>
      </c>
      <c r="AM9" s="7">
        <v>4</v>
      </c>
      <c r="AN9" s="7">
        <v>4</v>
      </c>
      <c r="AO9" s="7">
        <v>4</v>
      </c>
      <c r="AP9" s="7">
        <v>4</v>
      </c>
      <c r="AQ9" s="7">
        <v>4</v>
      </c>
      <c r="AR9" s="7">
        <v>4</v>
      </c>
      <c r="AS9" s="7">
        <v>4</v>
      </c>
      <c r="AT9" s="7">
        <v>4</v>
      </c>
      <c r="AU9" s="7">
        <v>4</v>
      </c>
      <c r="AV9" s="7">
        <v>4</v>
      </c>
      <c r="AW9" s="7">
        <v>4</v>
      </c>
      <c r="AX9" s="7">
        <v>4</v>
      </c>
      <c r="AY9" s="7">
        <v>4</v>
      </c>
      <c r="AZ9" s="7">
        <v>4</v>
      </c>
      <c r="BA9" s="7">
        <v>3.4</v>
      </c>
      <c r="BB9" s="7">
        <v>3.4</v>
      </c>
      <c r="BC9" s="7">
        <v>3.4</v>
      </c>
      <c r="BD9" s="7">
        <v>4</v>
      </c>
      <c r="BE9" s="7">
        <v>4</v>
      </c>
      <c r="BF9" s="7">
        <v>4</v>
      </c>
      <c r="BG9" s="7">
        <v>4</v>
      </c>
      <c r="BH9" s="7">
        <v>4</v>
      </c>
      <c r="BI9" s="7">
        <v>4</v>
      </c>
      <c r="BJ9" s="7">
        <v>4</v>
      </c>
      <c r="BK9" s="7">
        <v>4</v>
      </c>
      <c r="BL9" s="7">
        <v>4</v>
      </c>
      <c r="BM9" s="7">
        <v>4</v>
      </c>
      <c r="BN9" s="7">
        <v>4</v>
      </c>
      <c r="BO9" s="7">
        <v>4</v>
      </c>
      <c r="BP9" s="7">
        <v>4</v>
      </c>
      <c r="BQ9" s="7">
        <v>4</v>
      </c>
      <c r="BR9" s="7">
        <v>4</v>
      </c>
      <c r="BS9" s="7">
        <v>4.5</v>
      </c>
      <c r="BT9" s="7">
        <v>4.5</v>
      </c>
      <c r="BU9" s="7">
        <v>4.5</v>
      </c>
      <c r="BV9" s="7">
        <v>5</v>
      </c>
      <c r="BW9" s="7">
        <v>5</v>
      </c>
      <c r="BX9" s="7">
        <v>5</v>
      </c>
      <c r="BY9" s="7">
        <v>2.2000000000000002</v>
      </c>
      <c r="BZ9" s="7">
        <v>2.2000000000000002</v>
      </c>
      <c r="CA9" s="7">
        <v>2.2000000000000002</v>
      </c>
      <c r="CB9" s="7">
        <v>2.7</v>
      </c>
      <c r="CC9" s="7">
        <v>2.7</v>
      </c>
      <c r="CD9" s="7">
        <v>2.7</v>
      </c>
      <c r="CE9" s="7">
        <v>3.2</v>
      </c>
      <c r="CF9" s="7">
        <v>3.2</v>
      </c>
      <c r="CG9" s="7">
        <v>3.2</v>
      </c>
      <c r="CH9" s="7">
        <v>2.8</v>
      </c>
      <c r="CI9" s="7">
        <v>2.8</v>
      </c>
      <c r="CJ9" s="7">
        <v>2.8</v>
      </c>
      <c r="CK9" s="7">
        <v>2.7</v>
      </c>
      <c r="CL9" s="7">
        <v>2.7</v>
      </c>
      <c r="CM9" s="7">
        <v>2.7</v>
      </c>
      <c r="CN9" s="7">
        <v>3.2</v>
      </c>
      <c r="CO9" s="7">
        <v>3.2</v>
      </c>
      <c r="CP9" s="7">
        <v>3.2</v>
      </c>
      <c r="CQ9" s="7">
        <v>2.8</v>
      </c>
      <c r="CR9" s="7">
        <v>2.8</v>
      </c>
      <c r="CS9" s="7">
        <v>2.8</v>
      </c>
      <c r="CT9" s="7">
        <v>4.3</v>
      </c>
      <c r="CU9" s="7">
        <v>4.3</v>
      </c>
      <c r="CV9" s="7">
        <v>4.3</v>
      </c>
    </row>
    <row r="10" spans="1:100" x14ac:dyDescent="0.3">
      <c r="A10" s="5" t="s">
        <v>36</v>
      </c>
      <c r="B10" s="5" t="s">
        <v>44</v>
      </c>
      <c r="C10" s="7">
        <v>2</v>
      </c>
      <c r="D10" s="7">
        <v>2.2000000000000002</v>
      </c>
      <c r="E10" s="7">
        <v>2.2000000000000002</v>
      </c>
      <c r="F10" s="7">
        <v>2.2999999999999998</v>
      </c>
      <c r="G10" s="7">
        <v>2.4</v>
      </c>
      <c r="H10" s="7">
        <v>2.5</v>
      </c>
      <c r="I10" s="7">
        <v>2.6</v>
      </c>
      <c r="J10" s="7">
        <v>2.7</v>
      </c>
      <c r="K10" s="7">
        <v>2.8</v>
      </c>
      <c r="L10" s="7">
        <v>2.9</v>
      </c>
      <c r="M10" s="7">
        <v>3.1</v>
      </c>
      <c r="N10" s="7">
        <v>3.2</v>
      </c>
      <c r="P10" s="2" t="s">
        <v>45</v>
      </c>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3"/>
      <c r="AY10" s="23"/>
      <c r="AZ10" s="23"/>
      <c r="BA10" s="22"/>
      <c r="BB10" s="22"/>
      <c r="BC10" s="22"/>
      <c r="BD10" s="22"/>
      <c r="BE10" s="22"/>
      <c r="BF10" s="22"/>
      <c r="BG10" s="22"/>
      <c r="BH10" s="22"/>
      <c r="BI10" s="22"/>
      <c r="BJ10" s="22"/>
      <c r="BK10" s="22"/>
      <c r="BL10" s="22"/>
      <c r="BM10" s="22"/>
      <c r="BN10" s="22"/>
      <c r="BO10" s="22"/>
      <c r="BP10" s="22"/>
      <c r="BQ10" s="22"/>
      <c r="BR10" s="22"/>
      <c r="BS10" s="22"/>
      <c r="BT10" s="22"/>
      <c r="BU10" s="22"/>
      <c r="BV10" s="23"/>
      <c r="BW10" s="23"/>
      <c r="BX10" s="23"/>
      <c r="BY10" s="22"/>
      <c r="BZ10" s="22"/>
      <c r="CA10" s="22"/>
      <c r="CB10" s="22"/>
      <c r="CC10" s="22"/>
      <c r="CD10" s="22"/>
      <c r="CE10" s="22"/>
      <c r="CF10" s="22"/>
      <c r="CG10" s="22"/>
      <c r="CH10" s="23"/>
      <c r="CI10" s="23"/>
      <c r="CJ10" s="23"/>
      <c r="CK10" s="22"/>
      <c r="CL10" s="22"/>
      <c r="CM10" s="22"/>
      <c r="CN10" s="22"/>
      <c r="CO10" s="22"/>
      <c r="CP10" s="22"/>
      <c r="CQ10" s="22"/>
      <c r="CR10" s="22"/>
      <c r="CS10" s="22"/>
      <c r="CT10" s="23"/>
      <c r="CU10" s="23"/>
      <c r="CV10" s="23"/>
    </row>
    <row r="11" spans="1:100" x14ac:dyDescent="0.3">
      <c r="A11" s="5" t="s">
        <v>37</v>
      </c>
      <c r="B11" s="5" t="s">
        <v>43</v>
      </c>
      <c r="C11" s="7">
        <v>3</v>
      </c>
      <c r="D11" s="7">
        <v>3.2</v>
      </c>
      <c r="E11" s="7">
        <v>3.4</v>
      </c>
      <c r="F11" s="7">
        <v>3.6</v>
      </c>
      <c r="G11" s="7">
        <v>3.8</v>
      </c>
      <c r="H11" s="7">
        <v>4</v>
      </c>
      <c r="I11" s="7">
        <v>4</v>
      </c>
      <c r="J11" s="7">
        <v>4</v>
      </c>
      <c r="K11" s="7">
        <v>4</v>
      </c>
      <c r="L11" s="7">
        <v>4</v>
      </c>
      <c r="M11" s="7">
        <v>4</v>
      </c>
      <c r="N11" s="7">
        <v>4</v>
      </c>
      <c r="P11" s="11" t="s">
        <v>90</v>
      </c>
      <c r="Q11" s="5">
        <v>7</v>
      </c>
      <c r="R11" s="5">
        <v>7</v>
      </c>
      <c r="S11" s="5">
        <v>7</v>
      </c>
      <c r="T11" s="5">
        <v>8</v>
      </c>
      <c r="U11" s="5">
        <v>8</v>
      </c>
      <c r="V11" s="5">
        <v>8</v>
      </c>
      <c r="W11" s="5">
        <v>9</v>
      </c>
      <c r="X11" s="5">
        <v>9</v>
      </c>
      <c r="Y11" s="5">
        <v>9</v>
      </c>
      <c r="Z11" s="5">
        <v>9.5</v>
      </c>
      <c r="AA11" s="5">
        <v>9.5</v>
      </c>
      <c r="AB11" s="5">
        <v>9.5</v>
      </c>
      <c r="AC11" s="5">
        <v>10</v>
      </c>
      <c r="AD11" s="5">
        <v>10</v>
      </c>
      <c r="AE11" s="5">
        <v>10</v>
      </c>
      <c r="AF11" s="5">
        <v>11</v>
      </c>
      <c r="AG11" s="5">
        <v>11</v>
      </c>
      <c r="AH11" s="5">
        <v>11</v>
      </c>
      <c r="AI11" s="5">
        <v>11.5</v>
      </c>
      <c r="AJ11" s="5">
        <v>11.5</v>
      </c>
      <c r="AK11" s="5">
        <v>11.5</v>
      </c>
      <c r="AL11" s="5">
        <v>12</v>
      </c>
      <c r="AM11" s="5">
        <v>12</v>
      </c>
      <c r="AN11" s="5">
        <v>12</v>
      </c>
      <c r="AO11" s="5">
        <v>13</v>
      </c>
      <c r="AP11" s="5">
        <v>13</v>
      </c>
      <c r="AQ11" s="5">
        <v>13</v>
      </c>
      <c r="AR11" s="5">
        <v>14</v>
      </c>
      <c r="AS11" s="5">
        <v>14</v>
      </c>
      <c r="AT11" s="5">
        <v>14</v>
      </c>
      <c r="AU11" s="5">
        <v>15</v>
      </c>
      <c r="AV11" s="5">
        <v>15</v>
      </c>
      <c r="AW11" s="5">
        <v>15</v>
      </c>
      <c r="AX11" s="5">
        <v>16</v>
      </c>
      <c r="AY11" s="5">
        <v>16</v>
      </c>
      <c r="AZ11" s="5">
        <v>16</v>
      </c>
      <c r="BA11" s="5">
        <v>10</v>
      </c>
      <c r="BB11" s="5">
        <v>10</v>
      </c>
      <c r="BC11" s="5">
        <v>10</v>
      </c>
      <c r="BD11" s="5">
        <v>11</v>
      </c>
      <c r="BE11" s="5">
        <v>11</v>
      </c>
      <c r="BF11" s="5">
        <v>11</v>
      </c>
      <c r="BG11" s="5">
        <v>12</v>
      </c>
      <c r="BH11" s="5">
        <v>12</v>
      </c>
      <c r="BI11" s="5">
        <v>12</v>
      </c>
      <c r="BJ11" s="5">
        <v>12</v>
      </c>
      <c r="BK11" s="5">
        <v>12</v>
      </c>
      <c r="BL11" s="5">
        <v>12</v>
      </c>
      <c r="BM11" s="5">
        <v>13</v>
      </c>
      <c r="BN11" s="5">
        <v>13</v>
      </c>
      <c r="BO11" s="5">
        <v>13</v>
      </c>
      <c r="BP11" s="5">
        <v>14</v>
      </c>
      <c r="BQ11" s="5">
        <v>14</v>
      </c>
      <c r="BR11" s="5">
        <v>14</v>
      </c>
      <c r="BS11" s="5">
        <v>17</v>
      </c>
      <c r="BT11" s="5">
        <v>17</v>
      </c>
      <c r="BU11" s="5">
        <v>17</v>
      </c>
      <c r="BV11" s="5">
        <v>20</v>
      </c>
      <c r="BW11" s="5">
        <v>20</v>
      </c>
      <c r="BX11" s="5">
        <v>20</v>
      </c>
      <c r="BY11" s="5">
        <v>11.6</v>
      </c>
      <c r="BZ11" s="5">
        <v>11.6</v>
      </c>
      <c r="CA11" s="5">
        <v>11.6</v>
      </c>
      <c r="CB11" s="5">
        <v>12.6</v>
      </c>
      <c r="CC11" s="5">
        <v>12.6</v>
      </c>
      <c r="CD11" s="5">
        <v>12.6</v>
      </c>
      <c r="CE11" s="5">
        <v>13.7</v>
      </c>
      <c r="CF11" s="5">
        <v>13.7</v>
      </c>
      <c r="CG11" s="5">
        <v>13.7</v>
      </c>
      <c r="CH11" s="5">
        <v>14.7</v>
      </c>
      <c r="CI11" s="5">
        <v>14.7</v>
      </c>
      <c r="CJ11" s="5">
        <v>14.7</v>
      </c>
      <c r="CK11" s="5">
        <v>11.6</v>
      </c>
      <c r="CL11" s="5">
        <v>11.6</v>
      </c>
      <c r="CM11" s="5">
        <v>11.6</v>
      </c>
      <c r="CN11" s="5">
        <v>12.6</v>
      </c>
      <c r="CO11" s="5">
        <v>12.6</v>
      </c>
      <c r="CP11" s="5">
        <v>12.6</v>
      </c>
      <c r="CQ11" s="5">
        <v>13.7</v>
      </c>
      <c r="CR11" s="5">
        <v>13.7</v>
      </c>
      <c r="CS11" s="5">
        <v>13.7</v>
      </c>
      <c r="CT11" s="5">
        <v>14.7</v>
      </c>
      <c r="CU11" s="5">
        <v>14.7</v>
      </c>
      <c r="CV11" s="5">
        <v>14.7</v>
      </c>
    </row>
    <row r="12" spans="1:100" x14ac:dyDescent="0.3">
      <c r="A12" s="270" t="s">
        <v>45</v>
      </c>
      <c r="B12" s="271"/>
      <c r="C12" s="266"/>
      <c r="D12" s="266"/>
      <c r="E12" s="266"/>
      <c r="F12" s="266"/>
      <c r="G12" s="266"/>
      <c r="H12" s="266"/>
      <c r="I12" s="266"/>
      <c r="J12" s="266"/>
      <c r="K12" s="266"/>
      <c r="L12" s="266"/>
      <c r="M12" s="266"/>
      <c r="N12" s="267"/>
      <c r="P12" s="11" t="s">
        <v>88</v>
      </c>
      <c r="Q12" s="7">
        <v>4.7</v>
      </c>
      <c r="R12" s="7">
        <v>4.7</v>
      </c>
      <c r="S12" s="7">
        <v>4.7</v>
      </c>
      <c r="T12" s="7">
        <v>5.4</v>
      </c>
      <c r="U12" s="7">
        <v>5.4</v>
      </c>
      <c r="V12" s="7">
        <v>5.4</v>
      </c>
      <c r="W12" s="7">
        <v>6</v>
      </c>
      <c r="X12" s="7">
        <v>6</v>
      </c>
      <c r="Y12" s="7">
        <v>6</v>
      </c>
      <c r="Z12" s="7">
        <v>6.4</v>
      </c>
      <c r="AA12" s="7">
        <v>6.4</v>
      </c>
      <c r="AB12" s="7">
        <v>6.4</v>
      </c>
      <c r="AC12" s="7">
        <v>6.7</v>
      </c>
      <c r="AD12" s="7">
        <v>6.7</v>
      </c>
      <c r="AE12" s="7">
        <v>6.7</v>
      </c>
      <c r="AF12" s="7">
        <v>7.4</v>
      </c>
      <c r="AG12" s="7">
        <v>7.4</v>
      </c>
      <c r="AH12" s="7">
        <v>7.4</v>
      </c>
      <c r="AI12" s="7">
        <v>7.7</v>
      </c>
      <c r="AJ12" s="7">
        <v>7.7</v>
      </c>
      <c r="AK12" s="7">
        <v>7.7</v>
      </c>
      <c r="AL12" s="7">
        <v>8</v>
      </c>
      <c r="AM12" s="7">
        <v>8</v>
      </c>
      <c r="AN12" s="7">
        <v>8</v>
      </c>
      <c r="AO12" s="7">
        <v>8.6999999999999993</v>
      </c>
      <c r="AP12" s="7">
        <v>8.6999999999999993</v>
      </c>
      <c r="AQ12" s="7">
        <v>8.6999999999999993</v>
      </c>
      <c r="AR12" s="7">
        <v>9.4</v>
      </c>
      <c r="AS12" s="7">
        <v>9.4</v>
      </c>
      <c r="AT12" s="7">
        <v>9.4</v>
      </c>
      <c r="AU12" s="7">
        <v>10</v>
      </c>
      <c r="AV12" s="7">
        <v>10</v>
      </c>
      <c r="AW12" s="7">
        <v>10</v>
      </c>
      <c r="AX12" s="7">
        <v>10.7</v>
      </c>
      <c r="AY12" s="7">
        <v>10.7</v>
      </c>
      <c r="AZ12" s="7">
        <v>10.7</v>
      </c>
      <c r="BA12" s="7">
        <v>8.4</v>
      </c>
      <c r="BB12" s="7">
        <v>8.4</v>
      </c>
      <c r="BC12" s="7">
        <v>8.4</v>
      </c>
      <c r="BD12" s="7">
        <v>9.1999999999999993</v>
      </c>
      <c r="BE12" s="7">
        <v>9.1999999999999993</v>
      </c>
      <c r="BF12" s="7">
        <v>9.1999999999999993</v>
      </c>
      <c r="BG12" s="7">
        <v>10.1</v>
      </c>
      <c r="BH12" s="7">
        <v>10.1</v>
      </c>
      <c r="BI12" s="7">
        <v>10.1</v>
      </c>
      <c r="BJ12" s="7">
        <v>10.1</v>
      </c>
      <c r="BK12" s="7">
        <v>10.1</v>
      </c>
      <c r="BL12" s="7">
        <v>10.1</v>
      </c>
      <c r="BM12" s="7">
        <v>10.9</v>
      </c>
      <c r="BN12" s="7">
        <v>10.9</v>
      </c>
      <c r="BO12" s="7">
        <v>10.9</v>
      </c>
      <c r="BP12" s="7">
        <v>11.8</v>
      </c>
      <c r="BQ12" s="7">
        <v>11.8</v>
      </c>
      <c r="BR12" s="7">
        <v>11.8</v>
      </c>
      <c r="BS12" s="7">
        <v>14.3</v>
      </c>
      <c r="BT12" s="7">
        <v>14.3</v>
      </c>
      <c r="BU12" s="7">
        <v>14.3</v>
      </c>
      <c r="BV12" s="7">
        <v>16.8</v>
      </c>
      <c r="BW12" s="7">
        <v>16.8</v>
      </c>
      <c r="BX12" s="7">
        <v>16.8</v>
      </c>
      <c r="BY12" s="7">
        <v>9.4</v>
      </c>
      <c r="BZ12" s="7">
        <v>9.4</v>
      </c>
      <c r="CA12" s="7">
        <v>9.4</v>
      </c>
      <c r="CB12" s="7">
        <v>10.199999999999999</v>
      </c>
      <c r="CC12" s="7">
        <v>10.199999999999999</v>
      </c>
      <c r="CD12" s="7">
        <v>10.199999999999999</v>
      </c>
      <c r="CE12" s="7">
        <v>11.1</v>
      </c>
      <c r="CF12" s="7">
        <v>11.1</v>
      </c>
      <c r="CG12" s="7">
        <v>11.1</v>
      </c>
      <c r="CH12" s="7">
        <v>11.9</v>
      </c>
      <c r="CI12" s="7">
        <v>11.9</v>
      </c>
      <c r="CJ12" s="7">
        <v>11.9</v>
      </c>
      <c r="CK12" s="7">
        <v>9.4</v>
      </c>
      <c r="CL12" s="7">
        <v>9.4</v>
      </c>
      <c r="CM12" s="7">
        <v>9.4</v>
      </c>
      <c r="CN12" s="7">
        <v>10.199999999999999</v>
      </c>
      <c r="CO12" s="7">
        <v>10.199999999999999</v>
      </c>
      <c r="CP12" s="7">
        <v>10.199999999999999</v>
      </c>
      <c r="CQ12" s="7">
        <v>11.1</v>
      </c>
      <c r="CR12" s="7">
        <v>11.1</v>
      </c>
      <c r="CS12" s="7">
        <v>11.1</v>
      </c>
      <c r="CT12" s="7">
        <v>11.9</v>
      </c>
      <c r="CU12" s="7">
        <v>11.9</v>
      </c>
      <c r="CV12" s="7">
        <v>11.9</v>
      </c>
    </row>
    <row r="13" spans="1:100" ht="28.8" x14ac:dyDescent="0.3">
      <c r="A13" s="11" t="s">
        <v>46</v>
      </c>
      <c r="B13" s="12" t="s">
        <v>50</v>
      </c>
      <c r="C13" s="5">
        <v>7</v>
      </c>
      <c r="D13" s="5">
        <v>8</v>
      </c>
      <c r="E13" s="5">
        <v>9</v>
      </c>
      <c r="F13" s="5">
        <v>9.5</v>
      </c>
      <c r="G13" s="5">
        <v>10</v>
      </c>
      <c r="H13" s="5">
        <v>11</v>
      </c>
      <c r="I13" s="5">
        <v>11.5</v>
      </c>
      <c r="J13" s="5">
        <v>12</v>
      </c>
      <c r="K13" s="5">
        <v>13</v>
      </c>
      <c r="L13" s="5">
        <v>14</v>
      </c>
      <c r="M13" s="5">
        <v>15</v>
      </c>
      <c r="N13" s="5">
        <v>16</v>
      </c>
      <c r="P13" s="11" t="s">
        <v>89</v>
      </c>
      <c r="Q13" s="13">
        <v>0.23</v>
      </c>
      <c r="R13" s="13">
        <v>0.23</v>
      </c>
      <c r="S13" s="13">
        <v>0.23</v>
      </c>
      <c r="T13" s="13">
        <v>0.27</v>
      </c>
      <c r="U13" s="13">
        <v>0.27</v>
      </c>
      <c r="V13" s="13">
        <v>0.27</v>
      </c>
      <c r="W13" s="13">
        <v>0.3</v>
      </c>
      <c r="X13" s="13">
        <v>0.3</v>
      </c>
      <c r="Y13" s="13">
        <v>0.3</v>
      </c>
      <c r="Z13" s="13">
        <v>0.32</v>
      </c>
      <c r="AA13" s="13">
        <v>0.32</v>
      </c>
      <c r="AB13" s="13">
        <v>0.32</v>
      </c>
      <c r="AC13" s="13">
        <v>0.33</v>
      </c>
      <c r="AD13" s="13">
        <v>0.33</v>
      </c>
      <c r="AE13" s="13">
        <v>0.33</v>
      </c>
      <c r="AF13" s="13">
        <v>0.37</v>
      </c>
      <c r="AG13" s="13">
        <v>0.37</v>
      </c>
      <c r="AH13" s="13">
        <v>0.37</v>
      </c>
      <c r="AI13" s="13">
        <v>0.38</v>
      </c>
      <c r="AJ13" s="13">
        <v>0.38</v>
      </c>
      <c r="AK13" s="13">
        <v>0.38</v>
      </c>
      <c r="AL13" s="13">
        <v>0.4</v>
      </c>
      <c r="AM13" s="13">
        <v>0.4</v>
      </c>
      <c r="AN13" s="13">
        <v>0.4</v>
      </c>
      <c r="AO13" s="13">
        <v>0.43</v>
      </c>
      <c r="AP13" s="13">
        <v>0.43</v>
      </c>
      <c r="AQ13" s="13">
        <v>0.43</v>
      </c>
      <c r="AR13" s="13">
        <v>0.47</v>
      </c>
      <c r="AS13" s="13">
        <v>0.47</v>
      </c>
      <c r="AT13" s="13">
        <v>0.47</v>
      </c>
      <c r="AU13" s="13">
        <v>0.5</v>
      </c>
      <c r="AV13" s="13">
        <v>0.5</v>
      </c>
      <c r="AW13" s="13">
        <v>0.5</v>
      </c>
      <c r="AX13" s="13">
        <v>0.53</v>
      </c>
      <c r="AY13" s="13">
        <v>0.53</v>
      </c>
      <c r="AZ13" s="13">
        <v>0.53</v>
      </c>
      <c r="BA13" s="13">
        <v>0.67</v>
      </c>
      <c r="BB13" s="13">
        <v>0.67</v>
      </c>
      <c r="BC13" s="13">
        <v>0.67</v>
      </c>
      <c r="BD13" s="13">
        <v>0.73</v>
      </c>
      <c r="BE13" s="13">
        <v>0.73</v>
      </c>
      <c r="BF13" s="13">
        <v>0.73</v>
      </c>
      <c r="BG13" s="13">
        <v>0.8</v>
      </c>
      <c r="BH13" s="13">
        <v>0.8</v>
      </c>
      <c r="BI13" s="13">
        <v>0.8</v>
      </c>
      <c r="BJ13" s="13">
        <v>0.8</v>
      </c>
      <c r="BK13" s="13">
        <v>0.8</v>
      </c>
      <c r="BL13" s="13">
        <v>0.8</v>
      </c>
      <c r="BM13" s="13">
        <v>0.86</v>
      </c>
      <c r="BN13" s="13">
        <v>0.86</v>
      </c>
      <c r="BO13" s="13">
        <v>0.86</v>
      </c>
      <c r="BP13" s="13">
        <v>0.93</v>
      </c>
      <c r="BQ13" s="13">
        <v>0.93</v>
      </c>
      <c r="BR13" s="13">
        <v>0.93</v>
      </c>
      <c r="BS13" s="13">
        <v>1.1200000000000001</v>
      </c>
      <c r="BT13" s="13">
        <v>1.1200000000000001</v>
      </c>
      <c r="BU13" s="13">
        <v>1.1200000000000001</v>
      </c>
      <c r="BV13" s="13">
        <v>1.33</v>
      </c>
      <c r="BW13" s="13">
        <v>1.33</v>
      </c>
      <c r="BX13" s="13">
        <v>1.33</v>
      </c>
      <c r="BY13" s="13">
        <v>0.32</v>
      </c>
      <c r="BZ13" s="13">
        <v>0.32</v>
      </c>
      <c r="CA13" s="13">
        <v>0.32</v>
      </c>
      <c r="CB13" s="13">
        <v>0.39</v>
      </c>
      <c r="CC13" s="13">
        <v>0.39</v>
      </c>
      <c r="CD13" s="13">
        <v>0.39</v>
      </c>
      <c r="CE13" s="13">
        <v>0.42</v>
      </c>
      <c r="CF13" s="13">
        <v>0.42</v>
      </c>
      <c r="CG13" s="13">
        <v>0.42</v>
      </c>
      <c r="CH13" s="13">
        <v>0.46</v>
      </c>
      <c r="CI13" s="13">
        <v>0.46</v>
      </c>
      <c r="CJ13" s="13">
        <v>0.46</v>
      </c>
      <c r="CK13" s="13">
        <v>0.39</v>
      </c>
      <c r="CL13" s="13">
        <v>0.39</v>
      </c>
      <c r="CM13" s="13">
        <v>0.39</v>
      </c>
      <c r="CN13" s="13">
        <v>0.42</v>
      </c>
      <c r="CO13" s="13">
        <v>0.42</v>
      </c>
      <c r="CP13" s="13">
        <v>0.42</v>
      </c>
      <c r="CQ13" s="13">
        <v>0.46</v>
      </c>
      <c r="CR13" s="13">
        <v>0.46</v>
      </c>
      <c r="CS13" s="13">
        <v>0.46</v>
      </c>
      <c r="CT13" s="13">
        <v>0.49</v>
      </c>
      <c r="CU13" s="13">
        <v>0.49</v>
      </c>
      <c r="CV13" s="13">
        <v>0.49</v>
      </c>
    </row>
    <row r="14" spans="1:100" ht="28.8" x14ac:dyDescent="0.3">
      <c r="A14" s="11" t="s">
        <v>47</v>
      </c>
      <c r="B14" s="12" t="s">
        <v>51</v>
      </c>
      <c r="C14" s="7">
        <v>4.7</v>
      </c>
      <c r="D14" s="7">
        <v>5.4</v>
      </c>
      <c r="E14" s="7">
        <v>6</v>
      </c>
      <c r="F14" s="7">
        <v>6.4</v>
      </c>
      <c r="G14" s="7">
        <v>6.7</v>
      </c>
      <c r="H14" s="7">
        <v>7.4</v>
      </c>
      <c r="I14" s="7">
        <v>7.7</v>
      </c>
      <c r="J14" s="7">
        <v>8</v>
      </c>
      <c r="K14" s="7">
        <v>8.6999999999999993</v>
      </c>
      <c r="L14" s="7">
        <v>9.4</v>
      </c>
      <c r="M14" s="7">
        <v>10</v>
      </c>
      <c r="N14" s="7">
        <v>10.7</v>
      </c>
      <c r="P14" s="14" t="s">
        <v>49</v>
      </c>
      <c r="Q14" s="13">
        <v>0.44</v>
      </c>
      <c r="R14" s="13">
        <v>0.44</v>
      </c>
      <c r="S14" s="13">
        <v>0.44</v>
      </c>
      <c r="T14" s="13">
        <v>0.5</v>
      </c>
      <c r="U14" s="13">
        <v>0.5</v>
      </c>
      <c r="V14" s="13">
        <v>0.5</v>
      </c>
      <c r="W14" s="13">
        <v>0.56000000000000005</v>
      </c>
      <c r="X14" s="13">
        <v>0.56000000000000005</v>
      </c>
      <c r="Y14" s="13">
        <v>0.56000000000000005</v>
      </c>
      <c r="Z14" s="13">
        <v>0.59</v>
      </c>
      <c r="AA14" s="13">
        <v>0.59</v>
      </c>
      <c r="AB14" s="13">
        <v>0.59</v>
      </c>
      <c r="AC14" s="13">
        <v>0.63</v>
      </c>
      <c r="AD14" s="13">
        <v>0.63</v>
      </c>
      <c r="AE14" s="13">
        <v>0.63</v>
      </c>
      <c r="AF14" s="6">
        <v>0.69</v>
      </c>
      <c r="AG14" s="6">
        <v>0.69</v>
      </c>
      <c r="AH14" s="6">
        <v>0.69</v>
      </c>
      <c r="AI14" s="6">
        <v>0.72</v>
      </c>
      <c r="AJ14" s="6">
        <v>0.72</v>
      </c>
      <c r="AK14" s="6">
        <v>0.72</v>
      </c>
      <c r="AL14" s="6">
        <v>0.75</v>
      </c>
      <c r="AM14" s="6">
        <v>0.75</v>
      </c>
      <c r="AN14" s="6">
        <v>0.75</v>
      </c>
      <c r="AO14" s="6">
        <v>0.81</v>
      </c>
      <c r="AP14" s="6">
        <v>0.81</v>
      </c>
      <c r="AQ14" s="6">
        <v>0.81</v>
      </c>
      <c r="AR14" s="6">
        <v>0.88</v>
      </c>
      <c r="AS14" s="6">
        <v>0.88</v>
      </c>
      <c r="AT14" s="6">
        <v>0.88</v>
      </c>
      <c r="AU14" s="6">
        <v>0.94</v>
      </c>
      <c r="AV14" s="6">
        <v>0.94</v>
      </c>
      <c r="AW14" s="6">
        <v>0.94</v>
      </c>
      <c r="AX14" s="6">
        <v>1</v>
      </c>
      <c r="AY14" s="6">
        <v>1</v>
      </c>
      <c r="AZ14" s="6">
        <v>1</v>
      </c>
      <c r="BA14" s="13">
        <v>0.63</v>
      </c>
      <c r="BB14" s="13">
        <v>0.63</v>
      </c>
      <c r="BC14" s="13">
        <v>0.63</v>
      </c>
      <c r="BD14" s="13">
        <v>0.69</v>
      </c>
      <c r="BE14" s="13">
        <v>0.69</v>
      </c>
      <c r="BF14" s="13">
        <v>0.69</v>
      </c>
      <c r="BG14" s="13">
        <v>0.75</v>
      </c>
      <c r="BH14" s="13">
        <v>0.75</v>
      </c>
      <c r="BI14" s="13">
        <v>0.75</v>
      </c>
      <c r="BJ14" s="13">
        <v>0.75</v>
      </c>
      <c r="BK14" s="13">
        <v>0.75</v>
      </c>
      <c r="BL14" s="13">
        <v>0.75</v>
      </c>
      <c r="BM14" s="13">
        <v>0.81</v>
      </c>
      <c r="BN14" s="13">
        <v>0.81</v>
      </c>
      <c r="BO14" s="13">
        <v>0.81</v>
      </c>
      <c r="BP14" s="6">
        <v>0.88</v>
      </c>
      <c r="BQ14" s="6">
        <v>0.88</v>
      </c>
      <c r="BR14" s="6">
        <v>0.88</v>
      </c>
      <c r="BS14" s="6">
        <v>1.06</v>
      </c>
      <c r="BT14" s="6">
        <v>1.06</v>
      </c>
      <c r="BU14" s="6">
        <v>1.06</v>
      </c>
      <c r="BV14" s="6">
        <v>1.25</v>
      </c>
      <c r="BW14" s="6">
        <v>1.25</v>
      </c>
      <c r="BX14" s="6">
        <v>1.25</v>
      </c>
      <c r="BY14" s="13">
        <v>0.59</v>
      </c>
      <c r="BZ14" s="13">
        <v>0.59</v>
      </c>
      <c r="CA14" s="13">
        <v>0.59</v>
      </c>
      <c r="CB14" s="13">
        <v>0.72</v>
      </c>
      <c r="CC14" s="13">
        <v>0.72</v>
      </c>
      <c r="CD14" s="13">
        <v>0.72</v>
      </c>
      <c r="CE14" s="13">
        <v>0.78</v>
      </c>
      <c r="CF14" s="13">
        <v>0.78</v>
      </c>
      <c r="CG14" s="13">
        <v>0.78</v>
      </c>
      <c r="CH14" s="13">
        <v>0.85</v>
      </c>
      <c r="CI14" s="13">
        <v>0.85</v>
      </c>
      <c r="CJ14" s="13">
        <v>0.85</v>
      </c>
      <c r="CK14" s="13">
        <v>0.72</v>
      </c>
      <c r="CL14" s="13">
        <v>0.72</v>
      </c>
      <c r="CM14" s="13">
        <v>0.72</v>
      </c>
      <c r="CN14" s="13">
        <v>0.78</v>
      </c>
      <c r="CO14" s="13">
        <v>0.78</v>
      </c>
      <c r="CP14" s="13">
        <v>0.78</v>
      </c>
      <c r="CQ14" s="13">
        <v>0.85</v>
      </c>
      <c r="CR14" s="13">
        <v>0.85</v>
      </c>
      <c r="CS14" s="13">
        <v>0.85</v>
      </c>
      <c r="CT14" s="13">
        <v>0.91</v>
      </c>
      <c r="CU14" s="13">
        <v>0.91</v>
      </c>
      <c r="CV14" s="13">
        <v>0.91</v>
      </c>
    </row>
    <row r="15" spans="1:100" ht="28.8" x14ac:dyDescent="0.3">
      <c r="A15" s="11" t="s">
        <v>48</v>
      </c>
      <c r="B15" s="12" t="s">
        <v>52</v>
      </c>
      <c r="C15" s="13">
        <v>0.23</v>
      </c>
      <c r="D15" s="13">
        <v>0.27</v>
      </c>
      <c r="E15" s="13">
        <v>0.3</v>
      </c>
      <c r="F15" s="13">
        <v>0.32</v>
      </c>
      <c r="G15" s="13">
        <v>0.33</v>
      </c>
      <c r="H15" s="13">
        <v>0.37</v>
      </c>
      <c r="I15" s="13">
        <v>0.38</v>
      </c>
      <c r="J15" s="13">
        <v>0.4</v>
      </c>
      <c r="K15" s="13">
        <v>0.43</v>
      </c>
      <c r="L15" s="13">
        <v>0.47</v>
      </c>
      <c r="M15" s="13">
        <v>0.5</v>
      </c>
      <c r="N15" s="13">
        <v>0.53</v>
      </c>
      <c r="P15" s="2" t="s">
        <v>54</v>
      </c>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3"/>
      <c r="AY15" s="23"/>
      <c r="AZ15" s="23"/>
      <c r="BA15" s="22"/>
      <c r="BB15" s="22"/>
      <c r="BC15" s="22"/>
      <c r="BD15" s="22"/>
      <c r="BE15" s="22"/>
      <c r="BF15" s="22"/>
      <c r="BG15" s="22"/>
      <c r="BH15" s="22"/>
      <c r="BI15" s="22"/>
      <c r="BJ15" s="22"/>
      <c r="BK15" s="22"/>
      <c r="BL15" s="22"/>
      <c r="BM15" s="22"/>
      <c r="BN15" s="22"/>
      <c r="BO15" s="22"/>
      <c r="BP15" s="22"/>
      <c r="BQ15" s="22"/>
      <c r="BR15" s="22"/>
      <c r="BS15" s="22"/>
      <c r="BT15" s="22"/>
      <c r="BU15" s="22"/>
      <c r="BV15" s="23"/>
      <c r="BW15" s="23"/>
      <c r="BX15" s="23"/>
      <c r="BY15" s="22"/>
      <c r="BZ15" s="22"/>
      <c r="CA15" s="22"/>
      <c r="CB15" s="22"/>
      <c r="CC15" s="22"/>
      <c r="CD15" s="22"/>
      <c r="CE15" s="22"/>
      <c r="CF15" s="22"/>
      <c r="CG15" s="22"/>
      <c r="CH15" s="23"/>
      <c r="CI15" s="23"/>
      <c r="CJ15" s="23"/>
      <c r="CK15" s="22"/>
      <c r="CL15" s="22"/>
      <c r="CM15" s="22"/>
      <c r="CN15" s="22"/>
      <c r="CO15" s="22"/>
      <c r="CP15" s="22"/>
      <c r="CQ15" s="22"/>
      <c r="CR15" s="22"/>
      <c r="CS15" s="22"/>
      <c r="CT15" s="23"/>
      <c r="CU15" s="23"/>
      <c r="CV15" s="23"/>
    </row>
    <row r="16" spans="1:100" ht="21" customHeight="1" x14ac:dyDescent="0.3">
      <c r="A16" s="14" t="s">
        <v>49</v>
      </c>
      <c r="B16" s="12" t="s">
        <v>53</v>
      </c>
      <c r="C16" s="13">
        <v>0.44</v>
      </c>
      <c r="D16" s="13">
        <v>0.5</v>
      </c>
      <c r="E16" s="13">
        <v>0.56000000000000005</v>
      </c>
      <c r="F16" s="13">
        <v>0.59</v>
      </c>
      <c r="G16" s="13">
        <v>0.63</v>
      </c>
      <c r="H16" s="6">
        <v>0.69</v>
      </c>
      <c r="I16" s="6">
        <v>0.72</v>
      </c>
      <c r="J16" s="6">
        <v>0.75</v>
      </c>
      <c r="K16" s="6">
        <v>0.81</v>
      </c>
      <c r="L16" s="6">
        <v>0.88</v>
      </c>
      <c r="M16" s="6">
        <v>0.94</v>
      </c>
      <c r="N16" s="6">
        <v>1</v>
      </c>
      <c r="P16" s="15" t="s">
        <v>55</v>
      </c>
      <c r="Q16" s="5">
        <v>290</v>
      </c>
      <c r="R16" s="5">
        <v>290</v>
      </c>
      <c r="S16" s="5">
        <v>290</v>
      </c>
      <c r="T16" s="5">
        <v>310</v>
      </c>
      <c r="U16" s="5">
        <v>310</v>
      </c>
      <c r="V16" s="5">
        <v>310</v>
      </c>
      <c r="W16" s="5">
        <v>320</v>
      </c>
      <c r="X16" s="5">
        <v>320</v>
      </c>
      <c r="Y16" s="5">
        <v>320</v>
      </c>
      <c r="Z16" s="5">
        <v>330</v>
      </c>
      <c r="AA16" s="5">
        <v>330</v>
      </c>
      <c r="AB16" s="5">
        <v>330</v>
      </c>
      <c r="AC16" s="5">
        <v>340</v>
      </c>
      <c r="AD16" s="5">
        <v>340</v>
      </c>
      <c r="AE16" s="5">
        <v>340</v>
      </c>
      <c r="AF16" s="5">
        <v>350</v>
      </c>
      <c r="AG16" s="5">
        <v>350</v>
      </c>
      <c r="AH16" s="5">
        <v>350</v>
      </c>
      <c r="AI16" s="5">
        <v>370</v>
      </c>
      <c r="AJ16" s="5">
        <v>370</v>
      </c>
      <c r="AK16" s="5">
        <v>370</v>
      </c>
      <c r="AL16" s="5">
        <v>380</v>
      </c>
      <c r="AM16" s="5">
        <v>380</v>
      </c>
      <c r="AN16" s="5">
        <v>380</v>
      </c>
      <c r="AO16" s="5">
        <v>400</v>
      </c>
      <c r="AP16" s="5">
        <v>400</v>
      </c>
      <c r="AQ16" s="5">
        <v>400</v>
      </c>
      <c r="AR16" s="5">
        <v>420</v>
      </c>
      <c r="AS16" s="5">
        <v>420</v>
      </c>
      <c r="AT16" s="5">
        <v>420</v>
      </c>
      <c r="AU16" s="5">
        <v>440</v>
      </c>
      <c r="AV16" s="5">
        <v>440</v>
      </c>
      <c r="AW16" s="5">
        <v>440</v>
      </c>
      <c r="AX16" s="5">
        <v>460</v>
      </c>
      <c r="AY16" s="5">
        <v>460</v>
      </c>
      <c r="AZ16" s="5">
        <v>460</v>
      </c>
      <c r="BA16" s="5">
        <v>500</v>
      </c>
      <c r="BB16" s="5">
        <v>500</v>
      </c>
      <c r="BC16" s="5">
        <v>500</v>
      </c>
      <c r="BD16" s="5">
        <v>520</v>
      </c>
      <c r="BE16" s="5">
        <v>520</v>
      </c>
      <c r="BF16" s="5">
        <v>520</v>
      </c>
      <c r="BG16" s="5">
        <v>530</v>
      </c>
      <c r="BH16" s="5">
        <v>530</v>
      </c>
      <c r="BI16" s="5">
        <v>530</v>
      </c>
      <c r="BJ16" s="5">
        <v>540</v>
      </c>
      <c r="BK16" s="5">
        <v>540</v>
      </c>
      <c r="BL16" s="5">
        <v>540</v>
      </c>
      <c r="BM16" s="5">
        <v>550</v>
      </c>
      <c r="BN16" s="5">
        <v>550</v>
      </c>
      <c r="BO16" s="5">
        <v>550</v>
      </c>
      <c r="BP16" s="5">
        <v>620</v>
      </c>
      <c r="BQ16" s="5">
        <v>620</v>
      </c>
      <c r="BR16" s="5">
        <v>620</v>
      </c>
      <c r="BS16" s="5">
        <v>700</v>
      </c>
      <c r="BT16" s="5">
        <v>700</v>
      </c>
      <c r="BU16" s="5">
        <v>700</v>
      </c>
      <c r="BV16" s="5">
        <v>900</v>
      </c>
      <c r="BW16" s="5">
        <v>900</v>
      </c>
      <c r="BX16" s="5">
        <v>900</v>
      </c>
      <c r="BY16" s="5">
        <v>350</v>
      </c>
      <c r="BZ16" s="5">
        <v>350</v>
      </c>
      <c r="CA16" s="5">
        <v>350</v>
      </c>
      <c r="CB16" s="5">
        <v>380</v>
      </c>
      <c r="CC16" s="5">
        <v>380</v>
      </c>
      <c r="CD16" s="5">
        <v>380</v>
      </c>
      <c r="CE16" s="5">
        <v>410</v>
      </c>
      <c r="CF16" s="5">
        <v>410</v>
      </c>
      <c r="CG16" s="5">
        <v>410</v>
      </c>
      <c r="CH16" s="5">
        <v>430</v>
      </c>
      <c r="CI16" s="5">
        <v>430</v>
      </c>
      <c r="CJ16" s="5">
        <v>430</v>
      </c>
      <c r="CK16" s="5">
        <v>380</v>
      </c>
      <c r="CL16" s="5">
        <v>380</v>
      </c>
      <c r="CM16" s="5">
        <v>380</v>
      </c>
      <c r="CN16" s="5">
        <v>410</v>
      </c>
      <c r="CO16" s="5">
        <v>410</v>
      </c>
      <c r="CP16" s="5">
        <v>410</v>
      </c>
      <c r="CQ16" s="5">
        <v>430</v>
      </c>
      <c r="CR16" s="5">
        <v>430</v>
      </c>
      <c r="CS16" s="5">
        <v>430</v>
      </c>
      <c r="CT16" s="5">
        <v>450</v>
      </c>
      <c r="CU16" s="5">
        <v>450</v>
      </c>
      <c r="CV16" s="5">
        <v>450</v>
      </c>
    </row>
    <row r="17" spans="1:100" x14ac:dyDescent="0.3">
      <c r="A17" s="270" t="s">
        <v>54</v>
      </c>
      <c r="B17" s="271"/>
      <c r="C17" s="266"/>
      <c r="D17" s="266"/>
      <c r="E17" s="266"/>
      <c r="F17" s="266"/>
      <c r="G17" s="266"/>
      <c r="H17" s="266"/>
      <c r="I17" s="266"/>
      <c r="J17" s="266"/>
      <c r="K17" s="266"/>
      <c r="L17" s="266"/>
      <c r="M17" s="266"/>
      <c r="N17" s="267"/>
      <c r="P17" s="15" t="s">
        <v>56</v>
      </c>
      <c r="Q17" s="5">
        <v>350</v>
      </c>
      <c r="R17" s="5">
        <v>350</v>
      </c>
      <c r="S17" s="5">
        <v>350</v>
      </c>
      <c r="T17" s="5">
        <v>370</v>
      </c>
      <c r="U17" s="5">
        <v>370</v>
      </c>
      <c r="V17" s="5">
        <v>370</v>
      </c>
      <c r="W17" s="5">
        <v>380</v>
      </c>
      <c r="X17" s="5">
        <v>380</v>
      </c>
      <c r="Y17" s="5">
        <v>380</v>
      </c>
      <c r="Z17" s="5">
        <v>390</v>
      </c>
      <c r="AA17" s="5">
        <v>390</v>
      </c>
      <c r="AB17" s="5">
        <v>390</v>
      </c>
      <c r="AC17" s="5">
        <v>410</v>
      </c>
      <c r="AD17" s="5">
        <v>410</v>
      </c>
      <c r="AE17" s="5">
        <v>410</v>
      </c>
      <c r="AF17" s="5">
        <v>420</v>
      </c>
      <c r="AG17" s="5">
        <v>420</v>
      </c>
      <c r="AH17" s="5">
        <v>420</v>
      </c>
      <c r="AI17" s="5">
        <v>450</v>
      </c>
      <c r="AJ17" s="5">
        <v>450</v>
      </c>
      <c r="AK17" s="5">
        <v>450</v>
      </c>
      <c r="AL17" s="5">
        <v>460</v>
      </c>
      <c r="AM17" s="5">
        <v>460</v>
      </c>
      <c r="AN17" s="5">
        <v>460</v>
      </c>
      <c r="AO17" s="5">
        <v>480</v>
      </c>
      <c r="AP17" s="5">
        <v>480</v>
      </c>
      <c r="AQ17" s="5">
        <v>480</v>
      </c>
      <c r="AR17" s="5">
        <v>500</v>
      </c>
      <c r="AS17" s="5">
        <v>500</v>
      </c>
      <c r="AT17" s="5">
        <v>500</v>
      </c>
      <c r="AU17" s="5">
        <v>520</v>
      </c>
      <c r="AV17" s="5">
        <v>520</v>
      </c>
      <c r="AW17" s="5">
        <v>520</v>
      </c>
      <c r="AX17" s="5">
        <v>550</v>
      </c>
      <c r="AY17" s="5">
        <v>550</v>
      </c>
      <c r="AZ17" s="5">
        <v>550</v>
      </c>
      <c r="BA17" s="5">
        <v>610</v>
      </c>
      <c r="BB17" s="5">
        <v>610</v>
      </c>
      <c r="BC17" s="5">
        <v>610</v>
      </c>
      <c r="BD17" s="5">
        <v>630</v>
      </c>
      <c r="BE17" s="5">
        <v>630</v>
      </c>
      <c r="BF17" s="5">
        <v>630</v>
      </c>
      <c r="BG17" s="5">
        <v>640</v>
      </c>
      <c r="BH17" s="5">
        <v>640</v>
      </c>
      <c r="BI17" s="5">
        <v>640</v>
      </c>
      <c r="BJ17" s="5">
        <v>650</v>
      </c>
      <c r="BK17" s="5">
        <v>650</v>
      </c>
      <c r="BL17" s="5">
        <v>650</v>
      </c>
      <c r="BM17" s="5">
        <v>660</v>
      </c>
      <c r="BN17" s="5">
        <v>660</v>
      </c>
      <c r="BO17" s="5">
        <v>660</v>
      </c>
      <c r="BP17" s="5">
        <v>750</v>
      </c>
      <c r="BQ17" s="5">
        <v>750</v>
      </c>
      <c r="BR17" s="5">
        <v>750</v>
      </c>
      <c r="BS17" s="5">
        <v>840</v>
      </c>
      <c r="BT17" s="5">
        <v>840</v>
      </c>
      <c r="BU17" s="5">
        <v>840</v>
      </c>
      <c r="BV17" s="5">
        <v>1080</v>
      </c>
      <c r="BW17" s="5">
        <v>1080</v>
      </c>
      <c r="BX17" s="5">
        <v>1080</v>
      </c>
    </row>
    <row r="18" spans="1:100" x14ac:dyDescent="0.3">
      <c r="A18" s="15" t="s">
        <v>55</v>
      </c>
      <c r="B18" s="12" t="s">
        <v>58</v>
      </c>
      <c r="C18" s="5">
        <v>290</v>
      </c>
      <c r="D18" s="5">
        <v>310</v>
      </c>
      <c r="E18" s="5">
        <v>320</v>
      </c>
      <c r="F18" s="5">
        <v>330</v>
      </c>
      <c r="G18" s="5">
        <v>240</v>
      </c>
      <c r="H18" s="5">
        <v>250</v>
      </c>
      <c r="I18" s="5">
        <v>370</v>
      </c>
      <c r="J18" s="5">
        <v>380</v>
      </c>
      <c r="K18" s="5">
        <v>400</v>
      </c>
      <c r="L18" s="5">
        <v>420</v>
      </c>
      <c r="M18" s="5">
        <v>440</v>
      </c>
      <c r="N18" s="5">
        <v>460</v>
      </c>
    </row>
    <row r="19" spans="1:100" x14ac:dyDescent="0.3">
      <c r="A19" s="15" t="s">
        <v>56</v>
      </c>
      <c r="B19" s="12" t="s">
        <v>57</v>
      </c>
      <c r="C19" s="5">
        <v>350</v>
      </c>
      <c r="D19" s="5">
        <v>370</v>
      </c>
      <c r="E19" s="5">
        <v>380</v>
      </c>
      <c r="F19" s="5">
        <v>390</v>
      </c>
      <c r="G19" s="5">
        <v>410</v>
      </c>
      <c r="H19" s="5">
        <v>420</v>
      </c>
      <c r="I19" s="5">
        <v>450</v>
      </c>
      <c r="J19" s="5">
        <v>460</v>
      </c>
      <c r="K19" s="5">
        <v>480</v>
      </c>
      <c r="L19" s="5">
        <v>500</v>
      </c>
      <c r="M19" s="5">
        <v>520</v>
      </c>
      <c r="N19" s="5">
        <v>550</v>
      </c>
      <c r="P19" s="20" t="s">
        <v>92</v>
      </c>
    </row>
    <row r="20" spans="1:100" x14ac:dyDescent="0.3">
      <c r="P20" s="21" t="s">
        <v>94</v>
      </c>
      <c r="Q20" s="6">
        <v>1.3</v>
      </c>
      <c r="R20" s="6">
        <v>1.3</v>
      </c>
      <c r="S20" s="6">
        <v>1.3</v>
      </c>
      <c r="T20" s="6">
        <v>1.3</v>
      </c>
      <c r="U20" s="6">
        <v>1.3</v>
      </c>
      <c r="V20" s="6">
        <v>1.3</v>
      </c>
      <c r="W20" s="6">
        <v>1.3</v>
      </c>
      <c r="X20" s="6">
        <v>1.3</v>
      </c>
      <c r="Y20" s="6">
        <v>1.3</v>
      </c>
      <c r="Z20" s="6">
        <v>1.3</v>
      </c>
      <c r="AA20" s="6">
        <v>1.3</v>
      </c>
      <c r="AB20" s="6">
        <v>1.3</v>
      </c>
      <c r="AC20" s="6">
        <v>1.3</v>
      </c>
      <c r="AD20" s="6">
        <v>1.3</v>
      </c>
      <c r="AE20" s="6">
        <v>1.3</v>
      </c>
      <c r="AF20" s="6">
        <v>1.3</v>
      </c>
      <c r="AG20" s="6">
        <v>1.3</v>
      </c>
      <c r="AH20" s="6">
        <v>1.3</v>
      </c>
      <c r="AI20" s="6">
        <v>1.3</v>
      </c>
      <c r="AJ20" s="6">
        <v>1.3</v>
      </c>
      <c r="AK20" s="6">
        <v>1.3</v>
      </c>
      <c r="AL20" s="6">
        <v>1.3</v>
      </c>
      <c r="AM20" s="6">
        <v>1.3</v>
      </c>
      <c r="AN20" s="6">
        <v>1.3</v>
      </c>
      <c r="AO20" s="6">
        <v>1.3</v>
      </c>
      <c r="AP20" s="6">
        <v>1.3</v>
      </c>
      <c r="AQ20" s="6">
        <v>1.3</v>
      </c>
      <c r="AR20" s="6">
        <v>1.3</v>
      </c>
      <c r="AS20" s="6">
        <v>1.3</v>
      </c>
      <c r="AT20" s="6">
        <v>1.3</v>
      </c>
      <c r="AU20" s="6">
        <v>1.3</v>
      </c>
      <c r="AV20" s="6">
        <v>1.3</v>
      </c>
      <c r="AW20" s="6">
        <v>1.3</v>
      </c>
      <c r="AX20" s="6">
        <v>1.3</v>
      </c>
      <c r="AY20" s="6">
        <v>1.3</v>
      </c>
      <c r="AZ20" s="6">
        <v>1.3</v>
      </c>
      <c r="BA20" s="6">
        <v>1.3</v>
      </c>
      <c r="BB20" s="6">
        <v>1.3</v>
      </c>
      <c r="BC20" s="6">
        <v>1.3</v>
      </c>
      <c r="BD20" s="6">
        <v>1.3</v>
      </c>
      <c r="BE20" s="6">
        <v>1.3</v>
      </c>
      <c r="BF20" s="6">
        <v>1.3</v>
      </c>
      <c r="BG20" s="6">
        <v>1.3</v>
      </c>
      <c r="BH20" s="6">
        <v>1.3</v>
      </c>
      <c r="BI20" s="6">
        <v>1.3</v>
      </c>
      <c r="BJ20" s="6">
        <v>1.3</v>
      </c>
      <c r="BK20" s="6">
        <v>1.3</v>
      </c>
      <c r="BL20" s="6">
        <v>1.3</v>
      </c>
      <c r="BM20" s="6">
        <v>1.3</v>
      </c>
      <c r="BN20" s="6">
        <v>1.3</v>
      </c>
      <c r="BO20" s="6">
        <v>1.3</v>
      </c>
      <c r="BP20" s="6">
        <v>1.3</v>
      </c>
      <c r="BQ20" s="6">
        <v>1.3</v>
      </c>
      <c r="BR20" s="6">
        <v>1.3</v>
      </c>
      <c r="BS20" s="6">
        <v>1.3</v>
      </c>
      <c r="BT20" s="6">
        <v>1.3</v>
      </c>
      <c r="BU20" s="6">
        <v>1.3</v>
      </c>
      <c r="BV20" s="6">
        <v>1.3</v>
      </c>
      <c r="BW20" s="6">
        <v>1.3</v>
      </c>
      <c r="BX20" s="6">
        <v>1.3</v>
      </c>
      <c r="BY20" s="6">
        <v>1.25</v>
      </c>
      <c r="BZ20" s="6">
        <v>1.25</v>
      </c>
      <c r="CA20" s="6">
        <v>1.25</v>
      </c>
      <c r="CB20" s="6">
        <v>1.25</v>
      </c>
      <c r="CC20" s="6">
        <v>1.25</v>
      </c>
      <c r="CD20" s="6">
        <v>1.25</v>
      </c>
      <c r="CE20" s="6">
        <v>1.25</v>
      </c>
      <c r="CF20" s="6">
        <v>1.25</v>
      </c>
      <c r="CG20" s="6">
        <v>1.25</v>
      </c>
      <c r="CH20" s="6">
        <v>1.25</v>
      </c>
      <c r="CI20" s="6">
        <v>1.25</v>
      </c>
      <c r="CJ20" s="6">
        <v>1.25</v>
      </c>
      <c r="CK20" s="6">
        <v>1.25</v>
      </c>
      <c r="CL20" s="6">
        <v>1.25</v>
      </c>
      <c r="CM20" s="6">
        <v>1.25</v>
      </c>
      <c r="CN20" s="6">
        <v>1.25</v>
      </c>
      <c r="CO20" s="6">
        <v>1.25</v>
      </c>
      <c r="CP20" s="6">
        <v>1.25</v>
      </c>
      <c r="CQ20" s="6">
        <v>1.25</v>
      </c>
      <c r="CR20" s="6">
        <v>1.25</v>
      </c>
      <c r="CS20" s="6">
        <v>1.25</v>
      </c>
      <c r="CT20" s="6">
        <v>1.25</v>
      </c>
      <c r="CU20" s="6">
        <v>1.25</v>
      </c>
      <c r="CV20" s="6">
        <v>1.25</v>
      </c>
    </row>
    <row r="21" spans="1:100" x14ac:dyDescent="0.3">
      <c r="A21" s="265" t="s">
        <v>59</v>
      </c>
      <c r="B21" s="265"/>
      <c r="C21" s="265"/>
      <c r="D21" s="265"/>
      <c r="E21" s="265"/>
      <c r="F21" s="265"/>
      <c r="G21" s="265"/>
      <c r="H21" s="265"/>
      <c r="I21" s="265"/>
      <c r="J21" s="265"/>
      <c r="K21" s="16"/>
      <c r="L21" s="16"/>
      <c r="M21" s="16"/>
      <c r="N21" s="16"/>
      <c r="P21" s="21" t="s">
        <v>95</v>
      </c>
    </row>
    <row r="22" spans="1:100" x14ac:dyDescent="0.3">
      <c r="A22" s="218" t="s">
        <v>18</v>
      </c>
      <c r="B22" s="218"/>
      <c r="C22" s="219" t="s">
        <v>19</v>
      </c>
      <c r="D22" s="219"/>
      <c r="E22" s="219"/>
      <c r="F22" s="219"/>
      <c r="G22" s="219"/>
      <c r="H22" s="219"/>
      <c r="I22" s="219"/>
      <c r="J22" s="219"/>
      <c r="K22" s="16"/>
      <c r="L22" s="16"/>
      <c r="M22" s="16"/>
      <c r="N22" s="16"/>
      <c r="P22" t="s">
        <v>134</v>
      </c>
      <c r="Q22" s="6">
        <v>0.6</v>
      </c>
      <c r="R22" s="6">
        <v>0.6</v>
      </c>
      <c r="S22" s="6">
        <v>0.5</v>
      </c>
      <c r="T22" s="6">
        <v>0.6</v>
      </c>
      <c r="U22" s="6">
        <v>0.6</v>
      </c>
      <c r="V22" s="6">
        <v>0.5</v>
      </c>
      <c r="W22" s="6">
        <v>0.6</v>
      </c>
      <c r="X22" s="6">
        <v>0.6</v>
      </c>
      <c r="Y22" s="6">
        <v>0.5</v>
      </c>
      <c r="Z22" s="6">
        <v>0.6</v>
      </c>
      <c r="AA22" s="6">
        <v>0.6</v>
      </c>
      <c r="AB22" s="6">
        <v>0.5</v>
      </c>
      <c r="AC22" s="6">
        <v>0.6</v>
      </c>
      <c r="AD22" s="6">
        <v>0.6</v>
      </c>
      <c r="AE22" s="6">
        <v>0.5</v>
      </c>
      <c r="AF22" s="6">
        <v>0.6</v>
      </c>
      <c r="AG22" s="6">
        <v>0.6</v>
      </c>
      <c r="AH22" s="6">
        <v>0.5</v>
      </c>
      <c r="AI22" s="6">
        <v>0.6</v>
      </c>
      <c r="AJ22" s="6">
        <v>0.6</v>
      </c>
      <c r="AK22" s="6">
        <v>0.5</v>
      </c>
      <c r="AL22" s="6">
        <v>0.6</v>
      </c>
      <c r="AM22" s="6">
        <v>0.6</v>
      </c>
      <c r="AN22" s="6">
        <v>0.5</v>
      </c>
      <c r="AO22" s="6">
        <v>0.6</v>
      </c>
      <c r="AP22" s="6">
        <v>0.6</v>
      </c>
      <c r="AQ22" s="6">
        <v>0.5</v>
      </c>
      <c r="AR22" s="6">
        <v>0.6</v>
      </c>
      <c r="AS22" s="6">
        <v>0.6</v>
      </c>
      <c r="AT22" s="6">
        <v>0.5</v>
      </c>
      <c r="AU22" s="6">
        <v>0.6</v>
      </c>
      <c r="AV22" s="6">
        <v>0.6</v>
      </c>
      <c r="AW22" s="6">
        <v>0.5</v>
      </c>
      <c r="AX22" s="6">
        <v>0.6</v>
      </c>
      <c r="AY22" s="6">
        <v>0.6</v>
      </c>
      <c r="AZ22" s="6">
        <v>0.5</v>
      </c>
      <c r="BA22" s="6">
        <v>0.6</v>
      </c>
      <c r="BB22" s="6">
        <v>0.6</v>
      </c>
      <c r="BC22" s="6">
        <v>0.5</v>
      </c>
      <c r="BD22" s="6">
        <v>0.6</v>
      </c>
      <c r="BE22" s="6">
        <v>0.6</v>
      </c>
      <c r="BF22" s="6">
        <v>0.5</v>
      </c>
      <c r="BG22" s="6">
        <v>0.6</v>
      </c>
      <c r="BH22" s="6">
        <v>0.6</v>
      </c>
      <c r="BI22" s="6">
        <v>0.5</v>
      </c>
      <c r="BJ22" s="6">
        <v>0.6</v>
      </c>
      <c r="BK22" s="6">
        <v>0.6</v>
      </c>
      <c r="BL22" s="6">
        <v>0.5</v>
      </c>
      <c r="BM22" s="6">
        <v>0.6</v>
      </c>
      <c r="BN22" s="6">
        <v>0.6</v>
      </c>
      <c r="BO22" s="6">
        <v>0.5</v>
      </c>
      <c r="BP22" s="6">
        <v>0.6</v>
      </c>
      <c r="BQ22" s="6">
        <v>0.6</v>
      </c>
      <c r="BR22" s="6">
        <v>0.5</v>
      </c>
      <c r="BS22" s="6">
        <v>0.6</v>
      </c>
      <c r="BT22" s="6">
        <v>0.6</v>
      </c>
      <c r="BU22" s="6">
        <v>0.5</v>
      </c>
      <c r="BV22" s="6">
        <v>0.6</v>
      </c>
      <c r="BW22" s="6">
        <v>0.6</v>
      </c>
      <c r="BX22" s="6">
        <v>0.5</v>
      </c>
      <c r="BY22" s="6">
        <v>0.6</v>
      </c>
      <c r="BZ22" s="6">
        <v>0.6</v>
      </c>
      <c r="CA22" s="6">
        <v>0.5</v>
      </c>
      <c r="CB22" s="6">
        <v>0.6</v>
      </c>
      <c r="CC22" s="6">
        <v>0.6</v>
      </c>
      <c r="CD22" s="6">
        <v>0.5</v>
      </c>
      <c r="CE22" s="6">
        <v>0.6</v>
      </c>
      <c r="CF22" s="6">
        <v>0.6</v>
      </c>
      <c r="CG22" s="6">
        <v>0.5</v>
      </c>
      <c r="CH22" s="6">
        <v>0.6</v>
      </c>
      <c r="CI22" s="6">
        <v>0.6</v>
      </c>
      <c r="CJ22" s="6">
        <v>0.5</v>
      </c>
      <c r="CK22" s="6">
        <v>0.6</v>
      </c>
      <c r="CL22" s="6">
        <v>0.6</v>
      </c>
      <c r="CM22" s="6">
        <v>0.5</v>
      </c>
      <c r="CN22" s="6">
        <v>0.6</v>
      </c>
      <c r="CO22" s="6">
        <v>0.6</v>
      </c>
      <c r="CP22" s="6">
        <v>0.5</v>
      </c>
      <c r="CQ22" s="6">
        <v>0.6</v>
      </c>
      <c r="CR22" s="6">
        <v>0.6</v>
      </c>
      <c r="CS22" s="6">
        <v>0.5</v>
      </c>
      <c r="CT22" s="6">
        <v>0.6</v>
      </c>
      <c r="CU22" s="6">
        <v>0.6</v>
      </c>
      <c r="CV22" s="6">
        <v>0.5</v>
      </c>
    </row>
    <row r="23" spans="1:100" x14ac:dyDescent="0.3">
      <c r="A23" s="218"/>
      <c r="B23" s="218"/>
      <c r="C23" s="5" t="s">
        <v>60</v>
      </c>
      <c r="D23" s="5" t="s">
        <v>61</v>
      </c>
      <c r="E23" s="5" t="s">
        <v>62</v>
      </c>
      <c r="F23" s="5" t="s">
        <v>63</v>
      </c>
      <c r="G23" s="5" t="s">
        <v>64</v>
      </c>
      <c r="H23" s="5" t="s">
        <v>65</v>
      </c>
      <c r="I23" s="5" t="s">
        <v>66</v>
      </c>
      <c r="J23" s="5" t="s">
        <v>67</v>
      </c>
      <c r="K23" s="3"/>
      <c r="L23" s="3"/>
      <c r="M23" s="3"/>
      <c r="N23" s="3"/>
      <c r="P23" t="s">
        <v>135</v>
      </c>
      <c r="Q23" s="6">
        <v>0.7</v>
      </c>
      <c r="R23" s="6">
        <v>0.7</v>
      </c>
      <c r="S23" s="6">
        <v>0.55000000000000004</v>
      </c>
      <c r="T23" s="6">
        <v>0.7</v>
      </c>
      <c r="U23" s="6">
        <v>0.7</v>
      </c>
      <c r="V23" s="6">
        <v>0.55000000000000004</v>
      </c>
      <c r="W23" s="6">
        <v>0.7</v>
      </c>
      <c r="X23" s="6">
        <v>0.7</v>
      </c>
      <c r="Y23" s="6">
        <v>0.55000000000000004</v>
      </c>
      <c r="Z23" s="6">
        <v>0.7</v>
      </c>
      <c r="AA23" s="6">
        <v>0.7</v>
      </c>
      <c r="AB23" s="6">
        <v>0.55000000000000004</v>
      </c>
      <c r="AC23" s="6">
        <v>0.7</v>
      </c>
      <c r="AD23" s="6">
        <v>0.7</v>
      </c>
      <c r="AE23" s="6">
        <v>0.55000000000000004</v>
      </c>
      <c r="AF23" s="6">
        <v>0.7</v>
      </c>
      <c r="AG23" s="6">
        <v>0.7</v>
      </c>
      <c r="AH23" s="6">
        <v>0.55000000000000004</v>
      </c>
      <c r="AI23" s="6">
        <v>0.7</v>
      </c>
      <c r="AJ23" s="6">
        <v>0.7</v>
      </c>
      <c r="AK23" s="6">
        <v>0.55000000000000004</v>
      </c>
      <c r="AL23" s="6">
        <v>0.7</v>
      </c>
      <c r="AM23" s="6">
        <v>0.7</v>
      </c>
      <c r="AN23" s="6">
        <v>0.55000000000000004</v>
      </c>
      <c r="AO23" s="6">
        <v>0.7</v>
      </c>
      <c r="AP23" s="6">
        <v>0.7</v>
      </c>
      <c r="AQ23" s="6">
        <v>0.55000000000000004</v>
      </c>
      <c r="AR23" s="6">
        <v>0.7</v>
      </c>
      <c r="AS23" s="6">
        <v>0.7</v>
      </c>
      <c r="AT23" s="6">
        <v>0.55000000000000004</v>
      </c>
      <c r="AU23" s="6">
        <v>0.7</v>
      </c>
      <c r="AV23" s="6">
        <v>0.7</v>
      </c>
      <c r="AW23" s="6">
        <v>0.55000000000000004</v>
      </c>
      <c r="AX23" s="6">
        <v>0.7</v>
      </c>
      <c r="AY23" s="6">
        <v>0.7</v>
      </c>
      <c r="AZ23" s="6">
        <v>0.55000000000000004</v>
      </c>
      <c r="BA23" s="6">
        <v>0.7</v>
      </c>
      <c r="BB23" s="6">
        <v>0.7</v>
      </c>
      <c r="BC23" s="6">
        <v>0.55000000000000004</v>
      </c>
      <c r="BD23" s="6">
        <v>0.7</v>
      </c>
      <c r="BE23" s="6">
        <v>0.7</v>
      </c>
      <c r="BF23" s="6">
        <v>0.55000000000000004</v>
      </c>
      <c r="BG23" s="6">
        <v>0.7</v>
      </c>
      <c r="BH23" s="6">
        <v>0.7</v>
      </c>
      <c r="BI23" s="6">
        <v>0.55000000000000004</v>
      </c>
      <c r="BJ23" s="6">
        <v>0.7</v>
      </c>
      <c r="BK23" s="6">
        <v>0.7</v>
      </c>
      <c r="BL23" s="6">
        <v>0.55000000000000004</v>
      </c>
      <c r="BM23" s="6">
        <v>0.7</v>
      </c>
      <c r="BN23" s="6">
        <v>0.7</v>
      </c>
      <c r="BO23" s="6">
        <v>0.55000000000000004</v>
      </c>
      <c r="BP23" s="6">
        <v>0.7</v>
      </c>
      <c r="BQ23" s="6">
        <v>0.7</v>
      </c>
      <c r="BR23" s="6">
        <v>0.55000000000000004</v>
      </c>
      <c r="BS23" s="6">
        <v>0.7</v>
      </c>
      <c r="BT23" s="6">
        <v>0.7</v>
      </c>
      <c r="BU23" s="6">
        <v>0.55000000000000004</v>
      </c>
      <c r="BV23" s="6">
        <v>0.7</v>
      </c>
      <c r="BW23" s="6">
        <v>0.7</v>
      </c>
      <c r="BX23" s="6">
        <v>0.55000000000000004</v>
      </c>
      <c r="BY23" s="6">
        <v>0.7</v>
      </c>
      <c r="BZ23" s="6">
        <v>0.7</v>
      </c>
      <c r="CA23" s="6">
        <v>0.55000000000000004</v>
      </c>
      <c r="CB23" s="6">
        <v>0.7</v>
      </c>
      <c r="CC23" s="6">
        <v>0.7</v>
      </c>
      <c r="CD23" s="6">
        <v>0.55000000000000004</v>
      </c>
      <c r="CE23" s="6">
        <v>0.7</v>
      </c>
      <c r="CF23" s="6">
        <v>0.7</v>
      </c>
      <c r="CG23" s="6">
        <v>0.55000000000000004</v>
      </c>
      <c r="CH23" s="6">
        <v>0.7</v>
      </c>
      <c r="CI23" s="6">
        <v>0.7</v>
      </c>
      <c r="CJ23" s="6">
        <v>0.55000000000000004</v>
      </c>
      <c r="CK23" s="6">
        <v>0.7</v>
      </c>
      <c r="CL23" s="6">
        <v>0.7</v>
      </c>
      <c r="CM23" s="6">
        <v>0.55000000000000004</v>
      </c>
      <c r="CN23" s="6">
        <v>0.7</v>
      </c>
      <c r="CO23" s="6">
        <v>0.7</v>
      </c>
      <c r="CP23" s="6">
        <v>0.55000000000000004</v>
      </c>
      <c r="CQ23" s="6">
        <v>0.7</v>
      </c>
      <c r="CR23" s="6">
        <v>0.7</v>
      </c>
      <c r="CS23" s="6">
        <v>0.55000000000000004</v>
      </c>
      <c r="CT23" s="6">
        <v>0.7</v>
      </c>
      <c r="CU23" s="6">
        <v>0.7</v>
      </c>
      <c r="CV23" s="6">
        <v>0.55000000000000004</v>
      </c>
    </row>
    <row r="24" spans="1:100" x14ac:dyDescent="0.3">
      <c r="A24" s="268" t="s">
        <v>38</v>
      </c>
      <c r="B24" s="269"/>
      <c r="C24" s="266"/>
      <c r="D24" s="266"/>
      <c r="E24" s="266"/>
      <c r="F24" s="266"/>
      <c r="G24" s="266"/>
      <c r="H24" s="266"/>
      <c r="I24" s="266"/>
      <c r="J24" s="267"/>
      <c r="K24" s="16"/>
      <c r="L24" s="16"/>
      <c r="M24" s="16"/>
      <c r="N24" s="16"/>
      <c r="P24" t="s">
        <v>136</v>
      </c>
      <c r="Q24" s="6">
        <v>0.8</v>
      </c>
      <c r="R24" s="6">
        <v>0.8</v>
      </c>
      <c r="S24" s="6">
        <v>0.65</v>
      </c>
      <c r="T24" s="6">
        <v>0.8</v>
      </c>
      <c r="U24" s="6">
        <v>0.8</v>
      </c>
      <c r="V24" s="6">
        <v>0.65</v>
      </c>
      <c r="W24" s="6">
        <v>0.8</v>
      </c>
      <c r="X24" s="6">
        <v>0.8</v>
      </c>
      <c r="Y24" s="6">
        <v>0.65</v>
      </c>
      <c r="Z24" s="6">
        <v>0.8</v>
      </c>
      <c r="AA24" s="6">
        <v>0.8</v>
      </c>
      <c r="AB24" s="6">
        <v>0.65</v>
      </c>
      <c r="AC24" s="6">
        <v>0.8</v>
      </c>
      <c r="AD24" s="6">
        <v>0.8</v>
      </c>
      <c r="AE24" s="6">
        <v>0.65</v>
      </c>
      <c r="AF24" s="6">
        <v>0.8</v>
      </c>
      <c r="AG24" s="6">
        <v>0.8</v>
      </c>
      <c r="AH24" s="6">
        <v>0.65</v>
      </c>
      <c r="AI24" s="6">
        <v>0.8</v>
      </c>
      <c r="AJ24" s="6">
        <v>0.8</v>
      </c>
      <c r="AK24" s="6">
        <v>0.65</v>
      </c>
      <c r="AL24" s="6">
        <v>0.8</v>
      </c>
      <c r="AM24" s="6">
        <v>0.8</v>
      </c>
      <c r="AN24" s="6">
        <v>0.65</v>
      </c>
      <c r="AO24" s="6">
        <v>0.8</v>
      </c>
      <c r="AP24" s="6">
        <v>0.8</v>
      </c>
      <c r="AQ24" s="6">
        <v>0.65</v>
      </c>
      <c r="AR24" s="6">
        <v>0.8</v>
      </c>
      <c r="AS24" s="6">
        <v>0.8</v>
      </c>
      <c r="AT24" s="6">
        <v>0.65</v>
      </c>
      <c r="AU24" s="6">
        <v>0.8</v>
      </c>
      <c r="AV24" s="6">
        <v>0.8</v>
      </c>
      <c r="AW24" s="6">
        <v>0.65</v>
      </c>
      <c r="AX24" s="6">
        <v>0.8</v>
      </c>
      <c r="AY24" s="6">
        <v>0.8</v>
      </c>
      <c r="AZ24" s="6">
        <v>0.65</v>
      </c>
      <c r="BA24" s="6">
        <v>0.8</v>
      </c>
      <c r="BB24" s="6">
        <v>0.8</v>
      </c>
      <c r="BC24" s="6">
        <v>0.65</v>
      </c>
      <c r="BD24" s="6">
        <v>0.8</v>
      </c>
      <c r="BE24" s="6">
        <v>0.8</v>
      </c>
      <c r="BF24" s="6">
        <v>0.65</v>
      </c>
      <c r="BG24" s="6">
        <v>0.8</v>
      </c>
      <c r="BH24" s="6">
        <v>0.8</v>
      </c>
      <c r="BI24" s="6">
        <v>0.65</v>
      </c>
      <c r="BJ24" s="6">
        <v>0.8</v>
      </c>
      <c r="BK24" s="6">
        <v>0.8</v>
      </c>
      <c r="BL24" s="6">
        <v>0.65</v>
      </c>
      <c r="BM24" s="6">
        <v>0.8</v>
      </c>
      <c r="BN24" s="6">
        <v>0.8</v>
      </c>
      <c r="BO24" s="6">
        <v>0.65</v>
      </c>
      <c r="BP24" s="6">
        <v>0.8</v>
      </c>
      <c r="BQ24" s="6">
        <v>0.8</v>
      </c>
      <c r="BR24" s="6">
        <v>0.65</v>
      </c>
      <c r="BS24" s="6">
        <v>0.8</v>
      </c>
      <c r="BT24" s="6">
        <v>0.8</v>
      </c>
      <c r="BU24" s="6">
        <v>0.65</v>
      </c>
      <c r="BV24" s="6">
        <v>0.8</v>
      </c>
      <c r="BW24" s="6">
        <v>0.8</v>
      </c>
      <c r="BX24" s="6">
        <v>0.65</v>
      </c>
      <c r="BY24" s="6">
        <v>0.8</v>
      </c>
      <c r="BZ24" s="6">
        <v>0.8</v>
      </c>
      <c r="CA24" s="6">
        <v>0.65</v>
      </c>
      <c r="CB24" s="6">
        <v>0.8</v>
      </c>
      <c r="CC24" s="6">
        <v>0.8</v>
      </c>
      <c r="CD24" s="6">
        <v>0.65</v>
      </c>
      <c r="CE24" s="6">
        <v>0.8</v>
      </c>
      <c r="CF24" s="6">
        <v>0.8</v>
      </c>
      <c r="CG24" s="6">
        <v>0.65</v>
      </c>
      <c r="CH24" s="6">
        <v>0.8</v>
      </c>
      <c r="CI24" s="6">
        <v>0.8</v>
      </c>
      <c r="CJ24" s="6">
        <v>0.65</v>
      </c>
      <c r="CK24" s="6">
        <v>0.8</v>
      </c>
      <c r="CL24" s="6">
        <v>0.8</v>
      </c>
      <c r="CM24" s="6">
        <v>0.65</v>
      </c>
      <c r="CN24" s="6">
        <v>0.8</v>
      </c>
      <c r="CO24" s="6">
        <v>0.8</v>
      </c>
      <c r="CP24" s="6">
        <v>0.65</v>
      </c>
      <c r="CQ24" s="6">
        <v>0.8</v>
      </c>
      <c r="CR24" s="6">
        <v>0.8</v>
      </c>
      <c r="CS24" s="6">
        <v>0.65</v>
      </c>
      <c r="CT24" s="6">
        <v>0.8</v>
      </c>
      <c r="CU24" s="6">
        <v>0.8</v>
      </c>
      <c r="CV24" s="6">
        <v>0.65</v>
      </c>
    </row>
    <row r="25" spans="1:100" x14ac:dyDescent="0.3">
      <c r="A25" s="5" t="s">
        <v>32</v>
      </c>
      <c r="B25" s="5" t="s">
        <v>39</v>
      </c>
      <c r="C25" s="5">
        <v>18</v>
      </c>
      <c r="D25" s="5">
        <v>24</v>
      </c>
      <c r="E25" s="5">
        <v>30</v>
      </c>
      <c r="F25" s="5">
        <v>35</v>
      </c>
      <c r="G25" s="5">
        <v>40</v>
      </c>
      <c r="H25" s="5">
        <v>50</v>
      </c>
      <c r="I25" s="5">
        <v>60</v>
      </c>
      <c r="J25" s="5">
        <v>70</v>
      </c>
      <c r="K25" s="3"/>
      <c r="L25" s="3"/>
      <c r="M25" s="3"/>
      <c r="N25" s="3"/>
      <c r="P25" t="s">
        <v>137</v>
      </c>
      <c r="Q25" s="6">
        <v>0.9</v>
      </c>
      <c r="R25" s="6">
        <v>0.9</v>
      </c>
      <c r="S25" s="6">
        <v>0.7</v>
      </c>
      <c r="T25" s="6">
        <v>0.9</v>
      </c>
      <c r="U25" s="6">
        <v>0.9</v>
      </c>
      <c r="V25" s="6">
        <v>0.7</v>
      </c>
      <c r="W25" s="6">
        <v>0.9</v>
      </c>
      <c r="X25" s="6">
        <v>0.9</v>
      </c>
      <c r="Y25" s="6">
        <v>0.7</v>
      </c>
      <c r="Z25" s="6">
        <v>0.9</v>
      </c>
      <c r="AA25" s="6">
        <v>0.9</v>
      </c>
      <c r="AB25" s="6">
        <v>0.7</v>
      </c>
      <c r="AC25" s="6">
        <v>0.9</v>
      </c>
      <c r="AD25" s="6">
        <v>0.9</v>
      </c>
      <c r="AE25" s="6">
        <v>0.7</v>
      </c>
      <c r="AF25" s="6">
        <v>0.9</v>
      </c>
      <c r="AG25" s="6">
        <v>0.9</v>
      </c>
      <c r="AH25" s="6">
        <v>0.7</v>
      </c>
      <c r="AI25" s="6">
        <v>0.9</v>
      </c>
      <c r="AJ25" s="6">
        <v>0.9</v>
      </c>
      <c r="AK25" s="6">
        <v>0.7</v>
      </c>
      <c r="AL25" s="6">
        <v>0.9</v>
      </c>
      <c r="AM25" s="6">
        <v>0.9</v>
      </c>
      <c r="AN25" s="6">
        <v>0.7</v>
      </c>
      <c r="AO25" s="6">
        <v>0.9</v>
      </c>
      <c r="AP25" s="6">
        <v>0.9</v>
      </c>
      <c r="AQ25" s="6">
        <v>0.7</v>
      </c>
      <c r="AR25" s="6">
        <v>0.9</v>
      </c>
      <c r="AS25" s="6">
        <v>0.9</v>
      </c>
      <c r="AT25" s="6">
        <v>0.7</v>
      </c>
      <c r="AU25" s="6">
        <v>0.9</v>
      </c>
      <c r="AV25" s="6">
        <v>0.9</v>
      </c>
      <c r="AW25" s="6">
        <v>0.7</v>
      </c>
      <c r="AX25" s="6">
        <v>0.9</v>
      </c>
      <c r="AY25" s="6">
        <v>0.9</v>
      </c>
      <c r="AZ25" s="6">
        <v>0.7</v>
      </c>
      <c r="BA25" s="6">
        <v>0.9</v>
      </c>
      <c r="BB25" s="6">
        <v>0.9</v>
      </c>
      <c r="BC25" s="6">
        <v>0.7</v>
      </c>
      <c r="BD25" s="6">
        <v>0.9</v>
      </c>
      <c r="BE25" s="6">
        <v>0.9</v>
      </c>
      <c r="BF25" s="6">
        <v>0.7</v>
      </c>
      <c r="BG25" s="6">
        <v>0.9</v>
      </c>
      <c r="BH25" s="6">
        <v>0.9</v>
      </c>
      <c r="BI25" s="6">
        <v>0.7</v>
      </c>
      <c r="BJ25" s="6">
        <v>0.9</v>
      </c>
      <c r="BK25" s="6">
        <v>0.9</v>
      </c>
      <c r="BL25" s="6">
        <v>0.7</v>
      </c>
      <c r="BM25" s="6">
        <v>0.9</v>
      </c>
      <c r="BN25" s="6">
        <v>0.9</v>
      </c>
      <c r="BO25" s="6">
        <v>0.7</v>
      </c>
      <c r="BP25" s="6">
        <v>0.9</v>
      </c>
      <c r="BQ25" s="6">
        <v>0.9</v>
      </c>
      <c r="BR25" s="6">
        <v>0.7</v>
      </c>
      <c r="BS25" s="6">
        <v>0.9</v>
      </c>
      <c r="BT25" s="6">
        <v>0.9</v>
      </c>
      <c r="BU25" s="6">
        <v>0.7</v>
      </c>
      <c r="BV25" s="6">
        <v>0.9</v>
      </c>
      <c r="BW25" s="6">
        <v>0.9</v>
      </c>
      <c r="BX25" s="6">
        <v>0.7</v>
      </c>
      <c r="BY25" s="6">
        <v>0.9</v>
      </c>
      <c r="BZ25" s="6">
        <v>0.9</v>
      </c>
      <c r="CA25" s="6">
        <v>0.7</v>
      </c>
      <c r="CB25" s="6">
        <v>0.9</v>
      </c>
      <c r="CC25" s="6">
        <v>0.9</v>
      </c>
      <c r="CD25" s="6">
        <v>0.7</v>
      </c>
      <c r="CE25" s="6">
        <v>0.9</v>
      </c>
      <c r="CF25" s="6">
        <v>0.9</v>
      </c>
      <c r="CG25" s="6">
        <v>0.7</v>
      </c>
      <c r="CH25" s="6">
        <v>0.9</v>
      </c>
      <c r="CI25" s="6">
        <v>0.9</v>
      </c>
      <c r="CJ25" s="6">
        <v>0.7</v>
      </c>
      <c r="CK25" s="6">
        <v>0.9</v>
      </c>
      <c r="CL25" s="6">
        <v>0.9</v>
      </c>
      <c r="CM25" s="6">
        <v>0.7</v>
      </c>
      <c r="CN25" s="6">
        <v>0.9</v>
      </c>
      <c r="CO25" s="6">
        <v>0.9</v>
      </c>
      <c r="CP25" s="6">
        <v>0.7</v>
      </c>
      <c r="CQ25" s="6">
        <v>0.9</v>
      </c>
      <c r="CR25" s="6">
        <v>0.9</v>
      </c>
      <c r="CS25" s="6">
        <v>0.7</v>
      </c>
      <c r="CT25" s="6">
        <v>0.9</v>
      </c>
      <c r="CU25" s="6">
        <v>0.9</v>
      </c>
      <c r="CV25" s="6">
        <v>0.7</v>
      </c>
    </row>
    <row r="26" spans="1:100" x14ac:dyDescent="0.3">
      <c r="A26" s="5" t="s">
        <v>33</v>
      </c>
      <c r="B26" s="5" t="s">
        <v>40</v>
      </c>
      <c r="C26" s="5">
        <v>11</v>
      </c>
      <c r="D26" s="5">
        <v>14</v>
      </c>
      <c r="E26" s="5">
        <v>18</v>
      </c>
      <c r="F26" s="5">
        <v>21</v>
      </c>
      <c r="G26" s="5">
        <v>24</v>
      </c>
      <c r="H26" s="5">
        <v>30</v>
      </c>
      <c r="I26" s="5">
        <v>36</v>
      </c>
      <c r="J26" s="5">
        <v>42</v>
      </c>
      <c r="K26" s="3"/>
      <c r="L26" s="3"/>
      <c r="M26" s="3"/>
      <c r="N26" s="3"/>
      <c r="P26" t="s">
        <v>138</v>
      </c>
      <c r="Q26" s="6">
        <v>1.1000000000000001</v>
      </c>
      <c r="R26" s="6">
        <v>1.1000000000000001</v>
      </c>
      <c r="S26" s="6">
        <v>0.9</v>
      </c>
      <c r="T26" s="6">
        <v>1.1000000000000001</v>
      </c>
      <c r="U26" s="6">
        <v>1.1000000000000001</v>
      </c>
      <c r="V26" s="6">
        <v>0.9</v>
      </c>
      <c r="W26" s="6">
        <v>1.1000000000000001</v>
      </c>
      <c r="X26" s="6">
        <v>1.1000000000000001</v>
      </c>
      <c r="Y26" s="6">
        <v>0.9</v>
      </c>
      <c r="Z26" s="6">
        <v>1.1000000000000001</v>
      </c>
      <c r="AA26" s="6">
        <v>1.1000000000000001</v>
      </c>
      <c r="AB26" s="6">
        <v>0.9</v>
      </c>
      <c r="AC26" s="6">
        <v>1.1000000000000001</v>
      </c>
      <c r="AD26" s="6">
        <v>1.1000000000000001</v>
      </c>
      <c r="AE26" s="6">
        <v>0.9</v>
      </c>
      <c r="AF26" s="6">
        <v>1.1000000000000001</v>
      </c>
      <c r="AG26" s="6">
        <v>1.1000000000000001</v>
      </c>
      <c r="AH26" s="6">
        <v>0.9</v>
      </c>
      <c r="AI26" s="6">
        <v>1.1000000000000001</v>
      </c>
      <c r="AJ26" s="6">
        <v>1.1000000000000001</v>
      </c>
      <c r="AK26" s="6">
        <v>0.9</v>
      </c>
      <c r="AL26" s="6">
        <v>1.1000000000000001</v>
      </c>
      <c r="AM26" s="6">
        <v>1.1000000000000001</v>
      </c>
      <c r="AN26" s="6">
        <v>0.9</v>
      </c>
      <c r="AO26" s="6">
        <v>1.1000000000000001</v>
      </c>
      <c r="AP26" s="6">
        <v>1.1000000000000001</v>
      </c>
      <c r="AQ26" s="6">
        <v>0.9</v>
      </c>
      <c r="AR26" s="6">
        <v>1.1000000000000001</v>
      </c>
      <c r="AS26" s="6">
        <v>1.1000000000000001</v>
      </c>
      <c r="AT26" s="6">
        <v>0.9</v>
      </c>
      <c r="AU26" s="6">
        <v>1.1000000000000001</v>
      </c>
      <c r="AV26" s="6">
        <v>1.1000000000000001</v>
      </c>
      <c r="AW26" s="6">
        <v>0.9</v>
      </c>
      <c r="AX26" s="6">
        <v>1.1000000000000001</v>
      </c>
      <c r="AY26" s="6">
        <v>1.1000000000000001</v>
      </c>
      <c r="AZ26" s="6">
        <v>0.9</v>
      </c>
      <c r="BA26" s="6">
        <v>1.1000000000000001</v>
      </c>
      <c r="BB26" s="6">
        <v>1.1000000000000001</v>
      </c>
      <c r="BC26" s="6">
        <v>0.9</v>
      </c>
      <c r="BD26" s="6">
        <v>1.1000000000000001</v>
      </c>
      <c r="BE26" s="6">
        <v>1.1000000000000001</v>
      </c>
      <c r="BF26" s="6">
        <v>0.9</v>
      </c>
      <c r="BG26" s="6">
        <v>1.1000000000000001</v>
      </c>
      <c r="BH26" s="6">
        <v>1.1000000000000001</v>
      </c>
      <c r="BI26" s="6">
        <v>0.9</v>
      </c>
      <c r="BJ26" s="6">
        <v>1.1000000000000001</v>
      </c>
      <c r="BK26" s="6">
        <v>1.1000000000000001</v>
      </c>
      <c r="BL26" s="6">
        <v>0.9</v>
      </c>
      <c r="BM26" s="6">
        <v>1.1000000000000001</v>
      </c>
      <c r="BN26" s="6">
        <v>1.1000000000000001</v>
      </c>
      <c r="BO26" s="6">
        <v>0.9</v>
      </c>
      <c r="BP26" s="6">
        <v>1.1000000000000001</v>
      </c>
      <c r="BQ26" s="6">
        <v>1.1000000000000001</v>
      </c>
      <c r="BR26" s="6">
        <v>0.9</v>
      </c>
      <c r="BS26" s="6">
        <v>1.1000000000000001</v>
      </c>
      <c r="BT26" s="6">
        <v>1.1000000000000001</v>
      </c>
      <c r="BU26" s="6">
        <v>0.9</v>
      </c>
      <c r="BV26" s="6">
        <v>1.1000000000000001</v>
      </c>
      <c r="BW26" s="6">
        <v>1.1000000000000001</v>
      </c>
      <c r="BX26" s="6">
        <v>0.9</v>
      </c>
      <c r="BY26" s="6">
        <v>1.1000000000000001</v>
      </c>
      <c r="BZ26" s="6">
        <v>1.1000000000000001</v>
      </c>
      <c r="CA26" s="6">
        <v>0.9</v>
      </c>
      <c r="CB26" s="6">
        <v>1.1000000000000001</v>
      </c>
      <c r="CC26" s="6">
        <v>1.1000000000000001</v>
      </c>
      <c r="CD26" s="6">
        <v>0.9</v>
      </c>
      <c r="CE26" s="6">
        <v>1.1000000000000001</v>
      </c>
      <c r="CF26" s="6">
        <v>1.1000000000000001</v>
      </c>
      <c r="CG26" s="6">
        <v>0.9</v>
      </c>
      <c r="CH26" s="6">
        <v>1.1000000000000001</v>
      </c>
      <c r="CI26" s="6">
        <v>1.1000000000000001</v>
      </c>
      <c r="CJ26" s="6">
        <v>0.9</v>
      </c>
      <c r="CK26" s="6">
        <v>1.1000000000000001</v>
      </c>
      <c r="CL26" s="6">
        <v>1.1000000000000001</v>
      </c>
      <c r="CM26" s="6">
        <v>0.9</v>
      </c>
      <c r="CN26" s="6">
        <v>1.1000000000000001</v>
      </c>
      <c r="CO26" s="6">
        <v>1.1000000000000001</v>
      </c>
      <c r="CP26" s="6">
        <v>0.9</v>
      </c>
      <c r="CQ26" s="6">
        <v>1.1000000000000001</v>
      </c>
      <c r="CR26" s="6">
        <v>1.1000000000000001</v>
      </c>
      <c r="CS26" s="6">
        <v>0.9</v>
      </c>
      <c r="CT26" s="6">
        <v>1.1000000000000001</v>
      </c>
      <c r="CU26" s="6">
        <v>1.1000000000000001</v>
      </c>
      <c r="CV26" s="6">
        <v>0.9</v>
      </c>
    </row>
    <row r="27" spans="1:100" x14ac:dyDescent="0.3">
      <c r="A27" s="5" t="s">
        <v>34</v>
      </c>
      <c r="B27" s="5" t="s">
        <v>41</v>
      </c>
      <c r="C27" s="5">
        <v>0.6</v>
      </c>
      <c r="D27" s="5">
        <v>0.6</v>
      </c>
      <c r="E27" s="5">
        <v>0.6</v>
      </c>
      <c r="F27" s="5">
        <v>0.6</v>
      </c>
      <c r="G27" s="5">
        <v>0.6</v>
      </c>
      <c r="H27" s="5">
        <v>0.6</v>
      </c>
      <c r="I27" s="5">
        <v>0.6</v>
      </c>
      <c r="J27" s="5">
        <v>0.6</v>
      </c>
      <c r="K27" s="3"/>
      <c r="L27" s="3"/>
      <c r="M27" s="3"/>
      <c r="N27" s="3"/>
      <c r="P27" s="2" t="s">
        <v>127</v>
      </c>
      <c r="Q27" s="13">
        <v>0.67</v>
      </c>
      <c r="R27" s="13">
        <v>0.67</v>
      </c>
      <c r="S27" s="13">
        <v>0.67</v>
      </c>
      <c r="T27" s="13">
        <v>0.67</v>
      </c>
      <c r="U27" s="13">
        <v>0.67</v>
      </c>
      <c r="V27" s="13">
        <v>0.67</v>
      </c>
      <c r="W27" s="13">
        <v>0.67</v>
      </c>
      <c r="X27" s="13">
        <v>0.67</v>
      </c>
      <c r="Y27" s="13">
        <v>0.67</v>
      </c>
      <c r="Z27" s="13">
        <v>0.67</v>
      </c>
      <c r="AA27" s="13">
        <v>0.67</v>
      </c>
      <c r="AB27" s="13">
        <v>0.67</v>
      </c>
      <c r="AC27" s="13">
        <v>0.67</v>
      </c>
      <c r="AD27" s="13">
        <v>0.67</v>
      </c>
      <c r="AE27" s="13">
        <v>0.67</v>
      </c>
      <c r="AF27" s="13">
        <v>0.67</v>
      </c>
      <c r="AG27" s="13">
        <v>0.67</v>
      </c>
      <c r="AH27" s="13">
        <v>0.67</v>
      </c>
      <c r="AI27" s="13">
        <v>0.67</v>
      </c>
      <c r="AJ27" s="13">
        <v>0.67</v>
      </c>
      <c r="AK27" s="13">
        <v>0.67</v>
      </c>
      <c r="AL27" s="13">
        <v>0.67</v>
      </c>
      <c r="AM27" s="13">
        <v>0.67</v>
      </c>
      <c r="AN27" s="13">
        <v>0.67</v>
      </c>
      <c r="AO27" s="13">
        <v>0.67</v>
      </c>
      <c r="AP27" s="13">
        <v>0.67</v>
      </c>
      <c r="AQ27" s="13">
        <v>0.67</v>
      </c>
      <c r="AR27" s="13">
        <v>0.67</v>
      </c>
      <c r="AS27" s="13">
        <v>0.67</v>
      </c>
      <c r="AT27" s="13">
        <v>0.67</v>
      </c>
      <c r="AU27" s="13">
        <v>0.67</v>
      </c>
      <c r="AV27" s="13">
        <v>0.67</v>
      </c>
      <c r="AW27" s="13">
        <v>0.67</v>
      </c>
      <c r="AX27" s="13">
        <v>0.67</v>
      </c>
      <c r="AY27" s="13">
        <v>0.67</v>
      </c>
      <c r="AZ27" s="13">
        <v>0.67</v>
      </c>
      <c r="BA27" s="13">
        <v>0.67</v>
      </c>
      <c r="BB27" s="13">
        <v>0.67</v>
      </c>
      <c r="BC27" s="13">
        <v>0.67</v>
      </c>
      <c r="BD27" s="13">
        <v>0.67</v>
      </c>
      <c r="BE27" s="13">
        <v>0.67</v>
      </c>
      <c r="BF27" s="13">
        <v>0.67</v>
      </c>
      <c r="BG27" s="13">
        <v>0.67</v>
      </c>
      <c r="BH27" s="13">
        <v>0.67</v>
      </c>
      <c r="BI27" s="13">
        <v>0.67</v>
      </c>
      <c r="BJ27" s="13">
        <v>0.67</v>
      </c>
      <c r="BK27" s="13">
        <v>0.67</v>
      </c>
      <c r="BL27" s="13">
        <v>0.67</v>
      </c>
      <c r="BM27" s="13">
        <v>0.67</v>
      </c>
      <c r="BN27" s="13">
        <v>0.67</v>
      </c>
      <c r="BO27" s="13">
        <v>0.67</v>
      </c>
      <c r="BP27" s="13">
        <v>0.67</v>
      </c>
      <c r="BQ27" s="13">
        <v>0.67</v>
      </c>
      <c r="BR27" s="13">
        <v>0.67</v>
      </c>
      <c r="BS27" s="13">
        <v>0.67</v>
      </c>
      <c r="BT27" s="13">
        <v>0.67</v>
      </c>
      <c r="BU27" s="13">
        <v>0.67</v>
      </c>
      <c r="BV27" s="13">
        <v>0.67</v>
      </c>
      <c r="BW27" s="13">
        <v>0.67</v>
      </c>
      <c r="BX27" s="13">
        <v>0.67</v>
      </c>
      <c r="BY27" s="13">
        <v>0.67</v>
      </c>
      <c r="BZ27" s="13">
        <v>0.67</v>
      </c>
      <c r="CA27" s="13">
        <v>0.67</v>
      </c>
      <c r="CB27" s="13">
        <v>0.67</v>
      </c>
      <c r="CC27" s="13">
        <v>0.67</v>
      </c>
      <c r="CD27" s="13">
        <v>0.67</v>
      </c>
      <c r="CE27" s="13">
        <v>0.67</v>
      </c>
      <c r="CF27" s="13">
        <v>0.67</v>
      </c>
      <c r="CG27" s="13">
        <v>0.67</v>
      </c>
      <c r="CH27" s="13">
        <v>0.67</v>
      </c>
      <c r="CI27" s="13">
        <v>0.67</v>
      </c>
      <c r="CJ27" s="13">
        <v>0.67</v>
      </c>
      <c r="CK27" s="13">
        <v>0.67</v>
      </c>
      <c r="CL27" s="13">
        <v>0.67</v>
      </c>
      <c r="CM27" s="13">
        <v>0.67</v>
      </c>
      <c r="CN27" s="13">
        <v>0.67</v>
      </c>
      <c r="CO27" s="13">
        <v>0.67</v>
      </c>
      <c r="CP27" s="13">
        <v>0.67</v>
      </c>
      <c r="CQ27" s="13">
        <v>0.67</v>
      </c>
      <c r="CR27" s="13">
        <v>0.67</v>
      </c>
      <c r="CS27" s="13">
        <v>0.67</v>
      </c>
      <c r="CT27" s="13">
        <v>0.67</v>
      </c>
      <c r="CU27" s="13">
        <v>0.67</v>
      </c>
      <c r="CV27" s="13">
        <v>0.67</v>
      </c>
    </row>
    <row r="28" spans="1:100" x14ac:dyDescent="0.3">
      <c r="A28" s="5" t="s">
        <v>35</v>
      </c>
      <c r="B28" s="5" t="s">
        <v>42</v>
      </c>
      <c r="C28" s="5">
        <v>18</v>
      </c>
      <c r="D28" s="5">
        <v>21</v>
      </c>
      <c r="E28" s="5">
        <v>23</v>
      </c>
      <c r="F28" s="5">
        <v>25</v>
      </c>
      <c r="G28" s="5">
        <v>26</v>
      </c>
      <c r="H28" s="5">
        <v>29</v>
      </c>
      <c r="I28" s="5">
        <v>32</v>
      </c>
      <c r="J28" s="5">
        <v>34</v>
      </c>
      <c r="K28" s="3"/>
      <c r="L28" s="3"/>
      <c r="M28" s="3"/>
      <c r="N28" s="3"/>
      <c r="P28" s="2" t="s">
        <v>130</v>
      </c>
      <c r="Q28" s="13">
        <v>0.7</v>
      </c>
      <c r="R28" s="13">
        <v>0.7</v>
      </c>
      <c r="S28" s="13">
        <v>0.7</v>
      </c>
      <c r="T28" s="13">
        <v>0.7</v>
      </c>
      <c r="U28" s="13">
        <v>0.7</v>
      </c>
      <c r="V28" s="13">
        <v>0.7</v>
      </c>
      <c r="W28" s="13">
        <v>0.7</v>
      </c>
      <c r="X28" s="13">
        <v>0.7</v>
      </c>
      <c r="Y28" s="13">
        <v>0.7</v>
      </c>
      <c r="Z28" s="13">
        <v>0.7</v>
      </c>
      <c r="AA28" s="13">
        <v>0.7</v>
      </c>
      <c r="AB28" s="13">
        <v>0.7</v>
      </c>
      <c r="AC28" s="13">
        <v>0.7</v>
      </c>
      <c r="AD28" s="13">
        <v>0.7</v>
      </c>
      <c r="AE28" s="13">
        <v>0.7</v>
      </c>
      <c r="AF28" s="13">
        <v>0.7</v>
      </c>
      <c r="AG28" s="13">
        <v>0.7</v>
      </c>
      <c r="AH28" s="13">
        <v>0.7</v>
      </c>
      <c r="AI28" s="13">
        <v>0.7</v>
      </c>
      <c r="AJ28" s="13">
        <v>0.7</v>
      </c>
      <c r="AK28" s="13">
        <v>0.7</v>
      </c>
      <c r="AL28" s="13">
        <v>0.7</v>
      </c>
      <c r="AM28" s="13">
        <v>0.7</v>
      </c>
      <c r="AN28" s="13">
        <v>0.7</v>
      </c>
      <c r="AO28" s="13">
        <v>0.7</v>
      </c>
      <c r="AP28" s="13">
        <v>0.7</v>
      </c>
      <c r="AQ28" s="13">
        <v>0.7</v>
      </c>
      <c r="AR28" s="13">
        <v>0.7</v>
      </c>
      <c r="AS28" s="13">
        <v>0.7</v>
      </c>
      <c r="AT28" s="13">
        <v>0.7</v>
      </c>
      <c r="AU28" s="13">
        <v>0.7</v>
      </c>
      <c r="AV28" s="13">
        <v>0.7</v>
      </c>
      <c r="AW28" s="13">
        <v>0.7</v>
      </c>
      <c r="AX28" s="13">
        <v>0.7</v>
      </c>
      <c r="AY28" s="13">
        <v>0.7</v>
      </c>
      <c r="AZ28" s="13">
        <v>0.7</v>
      </c>
      <c r="BA28" s="13">
        <v>0.7</v>
      </c>
      <c r="BB28" s="13">
        <v>0.7</v>
      </c>
      <c r="BC28" s="13">
        <v>0.7</v>
      </c>
      <c r="BD28" s="13">
        <v>0.7</v>
      </c>
      <c r="BE28" s="13">
        <v>0.7</v>
      </c>
      <c r="BF28" s="13">
        <v>0.7</v>
      </c>
      <c r="BG28" s="13">
        <v>0.7</v>
      </c>
      <c r="BH28" s="13">
        <v>0.7</v>
      </c>
      <c r="BI28" s="13">
        <v>0.7</v>
      </c>
      <c r="BJ28" s="13">
        <v>0.7</v>
      </c>
      <c r="BK28" s="13">
        <v>0.7</v>
      </c>
      <c r="BL28" s="13">
        <v>0.7</v>
      </c>
      <c r="BM28" s="13">
        <v>0.7</v>
      </c>
      <c r="BN28" s="13">
        <v>0.7</v>
      </c>
      <c r="BO28" s="13">
        <v>0.7</v>
      </c>
      <c r="BP28" s="13">
        <v>0.7</v>
      </c>
      <c r="BQ28" s="13">
        <v>0.7</v>
      </c>
      <c r="BR28" s="13">
        <v>0.7</v>
      </c>
      <c r="BS28" s="13">
        <v>0.7</v>
      </c>
      <c r="BT28" s="13">
        <v>0.7</v>
      </c>
      <c r="BU28" s="13">
        <v>0.7</v>
      </c>
      <c r="BV28" s="13">
        <v>0.7</v>
      </c>
      <c r="BW28" s="13">
        <v>0.7</v>
      </c>
      <c r="BX28" s="13">
        <v>0.7</v>
      </c>
      <c r="BY28" s="13">
        <v>0.7</v>
      </c>
      <c r="BZ28" s="13">
        <v>0.7</v>
      </c>
      <c r="CA28" s="13">
        <v>0.7</v>
      </c>
      <c r="CB28" s="13">
        <v>0.7</v>
      </c>
      <c r="CC28" s="13">
        <v>0.7</v>
      </c>
      <c r="CD28" s="13">
        <v>0.7</v>
      </c>
      <c r="CE28" s="13">
        <v>0.7</v>
      </c>
      <c r="CF28" s="13">
        <v>0.7</v>
      </c>
      <c r="CG28" s="13">
        <v>0.7</v>
      </c>
      <c r="CH28" s="13">
        <v>0.7</v>
      </c>
      <c r="CI28" s="13">
        <v>0.7</v>
      </c>
      <c r="CJ28" s="13">
        <v>0.7</v>
      </c>
      <c r="CK28" s="13">
        <v>0.7</v>
      </c>
      <c r="CL28" s="13">
        <v>0.7</v>
      </c>
      <c r="CM28" s="13">
        <v>0.7</v>
      </c>
      <c r="CN28" s="13">
        <v>0.7</v>
      </c>
      <c r="CO28" s="13">
        <v>0.7</v>
      </c>
      <c r="CP28" s="13">
        <v>0.7</v>
      </c>
      <c r="CQ28" s="13">
        <v>0.7</v>
      </c>
      <c r="CR28" s="13">
        <v>0.7</v>
      </c>
      <c r="CS28" s="13">
        <v>0.7</v>
      </c>
      <c r="CT28" s="13">
        <v>0.7</v>
      </c>
      <c r="CU28" s="13">
        <v>0.7</v>
      </c>
      <c r="CV28" s="13">
        <v>0.7</v>
      </c>
    </row>
    <row r="29" spans="1:100" x14ac:dyDescent="0.3">
      <c r="A29" s="5" t="s">
        <v>36</v>
      </c>
      <c r="B29" s="5" t="s">
        <v>44</v>
      </c>
      <c r="C29" s="7">
        <v>7.5</v>
      </c>
      <c r="D29" s="7">
        <v>7.8</v>
      </c>
      <c r="E29" s="7">
        <v>8</v>
      </c>
      <c r="F29" s="7">
        <v>8.1</v>
      </c>
      <c r="G29" s="7">
        <v>8.3000000000000007</v>
      </c>
      <c r="H29" s="7">
        <v>9.3000000000000007</v>
      </c>
      <c r="I29" s="7">
        <v>10.5</v>
      </c>
      <c r="J29" s="7">
        <v>13.5</v>
      </c>
      <c r="K29" s="17"/>
      <c r="L29" s="17"/>
      <c r="M29" s="17"/>
      <c r="N29" s="17"/>
      <c r="P29" s="2" t="s">
        <v>329</v>
      </c>
      <c r="Q29" s="35">
        <f>IF('Valores de cálculo'!$G$4&lt;150,MIN(((150/'Valores de cálculo'!$G$4)^(0.2)),1.3),1)</f>
        <v>1</v>
      </c>
      <c r="R29" s="35">
        <f>IF('Valores de cálculo'!$G$4&lt;150,MIN(((150/'Valores de cálculo'!$G$4)^(0.2)),1.3),1)</f>
        <v>1</v>
      </c>
      <c r="S29" s="35">
        <f>IF('Valores de cálculo'!$G$4&lt;150,MIN(((150/'Valores de cálculo'!$G$4)^(0.2)),1.3),1)</f>
        <v>1</v>
      </c>
      <c r="T29" s="35">
        <f>IF('Valores de cálculo'!$G$4&lt;150,MIN(((150/'Valores de cálculo'!$G$4)^(0.2)),1.3),1)</f>
        <v>1</v>
      </c>
      <c r="U29" s="35">
        <f>IF('Valores de cálculo'!$G$4&lt;150,MIN(((150/'Valores de cálculo'!$G$4)^(0.2)),1.3),1)</f>
        <v>1</v>
      </c>
      <c r="V29" s="35">
        <f>IF('Valores de cálculo'!$G$4&lt;150,MIN(((150/'Valores de cálculo'!$G$4)^(0.2)),1.3),1)</f>
        <v>1</v>
      </c>
      <c r="W29" s="35">
        <f>IF('Valores de cálculo'!$G$4&lt;150,MIN(((150/'Valores de cálculo'!$G$4)^(0.2)),1.3),1)</f>
        <v>1</v>
      </c>
      <c r="X29" s="35">
        <f>IF('Valores de cálculo'!$G$4&lt;150,MIN(((150/'Valores de cálculo'!$G$4)^(0.2)),1.3),1)</f>
        <v>1</v>
      </c>
      <c r="Y29" s="35">
        <f>IF('Valores de cálculo'!$G$4&lt;150,MIN(((150/'Valores de cálculo'!$G$4)^(0.2)),1.3),1)</f>
        <v>1</v>
      </c>
      <c r="Z29" s="35">
        <f>IF('Valores de cálculo'!$G$4&lt;150,MIN(((150/'Valores de cálculo'!$G$4)^(0.2)),1.3),1)</f>
        <v>1</v>
      </c>
      <c r="AA29" s="35">
        <f>IF('Valores de cálculo'!$G$4&lt;150,MIN(((150/'Valores de cálculo'!$G$4)^(0.2)),1.3),1)</f>
        <v>1</v>
      </c>
      <c r="AB29" s="35">
        <f>IF('Valores de cálculo'!$G$4&lt;150,MIN(((150/'Valores de cálculo'!$G$4)^(0.2)),1.3),1)</f>
        <v>1</v>
      </c>
      <c r="AC29" s="35">
        <f>IF('Valores de cálculo'!$G$4&lt;150,MIN(((150/'Valores de cálculo'!$G$4)^(0.2)),1.3),1)</f>
        <v>1</v>
      </c>
      <c r="AD29" s="35">
        <f>IF('Valores de cálculo'!$G$4&lt;150,MIN(((150/'Valores de cálculo'!$G$4)^(0.2)),1.3),1)</f>
        <v>1</v>
      </c>
      <c r="AE29" s="35">
        <f>IF('Valores de cálculo'!$G$4&lt;150,MIN(((150/'Valores de cálculo'!$G$4)^(0.2)),1.3),1)</f>
        <v>1</v>
      </c>
      <c r="AF29" s="35">
        <f>IF('Valores de cálculo'!$G$4&lt;150,MIN(((150/'Valores de cálculo'!$G$4)^(0.2)),1.3),1)</f>
        <v>1</v>
      </c>
      <c r="AG29" s="35">
        <f>IF('Valores de cálculo'!$G$4&lt;150,MIN(((150/'Valores de cálculo'!$G$4)^(0.2)),1.3),1)</f>
        <v>1</v>
      </c>
      <c r="AH29" s="35">
        <f>IF('Valores de cálculo'!$G$4&lt;150,MIN(((150/'Valores de cálculo'!$G$4)^(0.2)),1.3),1)</f>
        <v>1</v>
      </c>
      <c r="AI29" s="35">
        <f>IF('Valores de cálculo'!$G$4&lt;150,MIN(((150/'Valores de cálculo'!$G$4)^(0.2)),1.3),1)</f>
        <v>1</v>
      </c>
      <c r="AJ29" s="35">
        <f>IF('Valores de cálculo'!$G$4&lt;150,MIN(((150/'Valores de cálculo'!$G$4)^(0.2)),1.3),1)</f>
        <v>1</v>
      </c>
      <c r="AK29" s="35">
        <f>IF('Valores de cálculo'!$G$4&lt;150,MIN(((150/'Valores de cálculo'!$G$4)^(0.2)),1.3),1)</f>
        <v>1</v>
      </c>
      <c r="AL29" s="35">
        <f>IF('Valores de cálculo'!$G$4&lt;150,MIN(((150/'Valores de cálculo'!$G$4)^(0.2)),1.3),1)</f>
        <v>1</v>
      </c>
      <c r="AM29" s="35">
        <f>IF('Valores de cálculo'!$G$4&lt;150,MIN(((150/'Valores de cálculo'!$G$4)^(0.2)),1.3),1)</f>
        <v>1</v>
      </c>
      <c r="AN29" s="35">
        <f>IF('Valores de cálculo'!$G$4&lt;150,MIN(((150/'Valores de cálculo'!$G$4)^(0.2)),1.3),1)</f>
        <v>1</v>
      </c>
      <c r="AO29" s="35">
        <f>IF('Valores de cálculo'!$G$4&lt;150,MIN(((150/'Valores de cálculo'!$G$4)^(0.2)),1.3),1)</f>
        <v>1</v>
      </c>
      <c r="AP29" s="35">
        <f>IF('Valores de cálculo'!$G$4&lt;150,MIN(((150/'Valores de cálculo'!$G$4)^(0.2)),1.3),1)</f>
        <v>1</v>
      </c>
      <c r="AQ29" s="35">
        <f>IF('Valores de cálculo'!$G$4&lt;150,MIN(((150/'Valores de cálculo'!$G$4)^(0.2)),1.3),1)</f>
        <v>1</v>
      </c>
      <c r="AR29" s="35">
        <f>IF('Valores de cálculo'!$G$4&lt;150,MIN(((150/'Valores de cálculo'!$G$4)^(0.2)),1.3),1)</f>
        <v>1</v>
      </c>
      <c r="AS29" s="35">
        <f>IF('Valores de cálculo'!$G$4&lt;150,MIN(((150/'Valores de cálculo'!$G$4)^(0.2)),1.3),1)</f>
        <v>1</v>
      </c>
      <c r="AT29" s="35">
        <f>IF('Valores de cálculo'!$G$4&lt;150,MIN(((150/'Valores de cálculo'!$G$4)^(0.2)),1.3),1)</f>
        <v>1</v>
      </c>
      <c r="AU29" s="35">
        <f>IF('Valores de cálculo'!$G$4&lt;150,MIN(((150/'Valores de cálculo'!$G$4)^(0.2)),1.3),1)</f>
        <v>1</v>
      </c>
      <c r="AV29" s="35">
        <f>IF('Valores de cálculo'!$G$4&lt;150,MIN(((150/'Valores de cálculo'!$G$4)^(0.2)),1.3),1)</f>
        <v>1</v>
      </c>
      <c r="AW29" s="35">
        <f>IF('Valores de cálculo'!$G$4&lt;150,MIN(((150/'Valores de cálculo'!$G$4)^(0.2)),1.3),1)</f>
        <v>1</v>
      </c>
      <c r="AX29" s="35">
        <f>IF('Valores de cálculo'!$G$4&lt;150,MIN(((150/'Valores de cálculo'!$G$4)^(0.2)),1.3),1)</f>
        <v>1</v>
      </c>
      <c r="AY29" s="35">
        <f>IF('Valores de cálculo'!$G$4&lt;150,MIN(((150/'Valores de cálculo'!$G$4)^(0.2)),1.3),1)</f>
        <v>1</v>
      </c>
      <c r="AZ29" s="35">
        <f>IF('Valores de cálculo'!$G$4&lt;150,MIN(((150/'Valores de cálculo'!$G$4)^(0.2)),1.3),1)</f>
        <v>1</v>
      </c>
      <c r="BA29" s="35">
        <f>IF('Valores de cálculo'!$G$4&lt;150,MIN(((150/'Valores de cálculo'!$G$4)^(0.2)),1.3),1)</f>
        <v>1</v>
      </c>
      <c r="BB29" s="35">
        <f>IF('Valores de cálculo'!$G$4&lt;150,MIN(((150/'Valores de cálculo'!$G$4)^(0.2)),1.3),1)</f>
        <v>1</v>
      </c>
      <c r="BC29" s="35">
        <f>IF('Valores de cálculo'!$G$4&lt;150,MIN(((150/'Valores de cálculo'!$G$4)^(0.2)),1.3),1)</f>
        <v>1</v>
      </c>
      <c r="BD29" s="35">
        <f>IF('Valores de cálculo'!$G$4&lt;150,MIN(((150/'Valores de cálculo'!$G$4)^(0.2)),1.3),1)</f>
        <v>1</v>
      </c>
      <c r="BE29" s="35">
        <f>IF('Valores de cálculo'!$G$4&lt;150,MIN(((150/'Valores de cálculo'!$G$4)^(0.2)),1.3),1)</f>
        <v>1</v>
      </c>
      <c r="BF29" s="35">
        <f>IF('Valores de cálculo'!$G$4&lt;150,MIN(((150/'Valores de cálculo'!$G$4)^(0.2)),1.3),1)</f>
        <v>1</v>
      </c>
      <c r="BG29" s="35">
        <f>IF('Valores de cálculo'!$G$4&lt;150,MIN(((150/'Valores de cálculo'!$G$4)^(0.2)),1.3),1)</f>
        <v>1</v>
      </c>
      <c r="BH29" s="35">
        <f>IF('Valores de cálculo'!$G$4&lt;150,MIN(((150/'Valores de cálculo'!$G$4)^(0.2)),1.3),1)</f>
        <v>1</v>
      </c>
      <c r="BI29" s="35">
        <f>IF('Valores de cálculo'!$G$4&lt;150,MIN(((150/'Valores de cálculo'!$G$4)^(0.2)),1.3),1)</f>
        <v>1</v>
      </c>
      <c r="BJ29" s="35">
        <f>IF('Valores de cálculo'!$G$4&lt;150,MIN(((150/'Valores de cálculo'!$G$4)^(0.2)),1.3),1)</f>
        <v>1</v>
      </c>
      <c r="BK29" s="35">
        <f>IF('Valores de cálculo'!$G$4&lt;150,MIN(((150/'Valores de cálculo'!$G$4)^(0.2)),1.3),1)</f>
        <v>1</v>
      </c>
      <c r="BL29" s="35">
        <f>IF('Valores de cálculo'!$G$4&lt;150,MIN(((150/'Valores de cálculo'!$G$4)^(0.2)),1.3),1)</f>
        <v>1</v>
      </c>
      <c r="BM29" s="35">
        <f>IF('Valores de cálculo'!$G$4&lt;150,MIN(((150/'Valores de cálculo'!$G$4)^(0.2)),1.3),1)</f>
        <v>1</v>
      </c>
      <c r="BN29" s="35">
        <f>IF('Valores de cálculo'!$G$4&lt;150,MIN(((150/'Valores de cálculo'!$G$4)^(0.2)),1.3),1)</f>
        <v>1</v>
      </c>
      <c r="BO29" s="35">
        <f>IF('Valores de cálculo'!$G$4&lt;150,MIN(((150/'Valores de cálculo'!$G$4)^(0.2)),1.3),1)</f>
        <v>1</v>
      </c>
      <c r="BP29" s="35">
        <f>IF('Valores de cálculo'!$G$4&lt;150,MIN(((150/'Valores de cálculo'!$G$4)^(0.2)),1.3),1)</f>
        <v>1</v>
      </c>
      <c r="BQ29" s="35">
        <f>IF('Valores de cálculo'!$G$4&lt;150,MIN(((150/'Valores de cálculo'!$G$4)^(0.2)),1.3),1)</f>
        <v>1</v>
      </c>
      <c r="BR29" s="35">
        <f>IF('Valores de cálculo'!$G$4&lt;150,MIN(((150/'Valores de cálculo'!$G$4)^(0.2)),1.3),1)</f>
        <v>1</v>
      </c>
      <c r="BS29" s="35">
        <f>IF('Valores de cálculo'!$G$4&lt;150,MIN(((150/'Valores de cálculo'!$G$4)^(0.2)),1.3),1)</f>
        <v>1</v>
      </c>
      <c r="BT29" s="35">
        <f>IF('Valores de cálculo'!$G$4&lt;150,MIN(((150/'Valores de cálculo'!$G$4)^(0.2)),1.3),1)</f>
        <v>1</v>
      </c>
      <c r="BU29" s="35">
        <f>IF('Valores de cálculo'!$G$4&lt;150,MIN(((150/'Valores de cálculo'!$G$4)^(0.2)),1.3),1)</f>
        <v>1</v>
      </c>
      <c r="BV29" s="35">
        <f>IF('Valores de cálculo'!$G$4&lt;150,MIN(((150/'Valores de cálculo'!$G$4)^(0.2)),1.3),1)</f>
        <v>1</v>
      </c>
      <c r="BW29" s="35">
        <f>IF('Valores de cálculo'!$G$4&lt;150,MIN(((150/'Valores de cálculo'!$G$4)^(0.2)),1.3),1)</f>
        <v>1</v>
      </c>
      <c r="BX29" s="35">
        <f>IF('Valores de cálculo'!$G$4&lt;150,MIN(((150/'Valores de cálculo'!$G$4)^(0.2)),1.3),1)</f>
        <v>1</v>
      </c>
      <c r="BY29" s="35">
        <f>IF('Valores de cálculo'!$G$4&lt;600,MIN(((600/'Valores de cálculo'!$G$4)^(0.1)),1.1),1)</f>
        <v>1.0413797439924106</v>
      </c>
      <c r="BZ29" s="35">
        <f>IF('Valores de cálculo'!$G$4&lt;600,MIN(((600/'Valores de cálculo'!$G$4)^(0.1)),1.1),1)</f>
        <v>1.0413797439924106</v>
      </c>
      <c r="CA29" s="35">
        <f>IF('Valores de cálculo'!$G$4&lt;600,MIN(((600/'Valores de cálculo'!$G$4)^(0.1)),1.1),1)</f>
        <v>1.0413797439924106</v>
      </c>
      <c r="CB29" s="35">
        <f>IF('Valores de cálculo'!$G$4&lt;600,MIN(((600/'Valores de cálculo'!$G$4)^(0.1)),1.1),1)</f>
        <v>1.0413797439924106</v>
      </c>
      <c r="CC29" s="35">
        <f>IF('Valores de cálculo'!$G$4&lt;600,MIN(((600/'Valores de cálculo'!$G$4)^(0.1)),1.1),1)</f>
        <v>1.0413797439924106</v>
      </c>
      <c r="CD29" s="35">
        <f>IF('Valores de cálculo'!$G$4&lt;600,MIN(((600/'Valores de cálculo'!$G$4)^(0.1)),1.1),1)</f>
        <v>1.0413797439924106</v>
      </c>
      <c r="CE29" s="35">
        <f>IF('Valores de cálculo'!$G$4&lt;600,MIN(((600/'Valores de cálculo'!$G$4)^(0.1)),1.1),1)</f>
        <v>1.0413797439924106</v>
      </c>
      <c r="CF29" s="35">
        <f>IF('Valores de cálculo'!$G$4&lt;600,MIN(((600/'Valores de cálculo'!$G$4)^(0.1)),1.1),1)</f>
        <v>1.0413797439924106</v>
      </c>
      <c r="CG29" s="35">
        <f>IF('Valores de cálculo'!$G$4&lt;600,MIN(((600/'Valores de cálculo'!$G$4)^(0.1)),1.1),1)</f>
        <v>1.0413797439924106</v>
      </c>
      <c r="CH29" s="35">
        <f>IF('Valores de cálculo'!$G$4&lt;600,MIN(((600/'Valores de cálculo'!$G$4)^(0.1)),1.1),1)</f>
        <v>1.0413797439924106</v>
      </c>
      <c r="CI29" s="35">
        <f>IF('Valores de cálculo'!$G$4&lt;600,MIN(((600/'Valores de cálculo'!$G$4)^(0.1)),1.1),1)</f>
        <v>1.0413797439924106</v>
      </c>
      <c r="CJ29" s="35">
        <f>IF('Valores de cálculo'!$G$4&lt;600,MIN(((600/'Valores de cálculo'!$G$4)^(0.1)),1.1),1)</f>
        <v>1.0413797439924106</v>
      </c>
      <c r="CK29" s="35">
        <f>IF('Valores de cálculo'!$G$4&lt;600,MIN(((600/'Valores de cálculo'!$G$4)^(0.1)),1.1),1)</f>
        <v>1.0413797439924106</v>
      </c>
      <c r="CL29" s="35">
        <f>IF('Valores de cálculo'!$G$4&lt;600,MIN(((600/'Valores de cálculo'!$G$4)^(0.1)),1.1),1)</f>
        <v>1.0413797439924106</v>
      </c>
      <c r="CM29" s="35">
        <f>IF('Valores de cálculo'!$G$4&lt;600,MIN(((600/'Valores de cálculo'!$G$4)^(0.1)),1.1),1)</f>
        <v>1.0413797439924106</v>
      </c>
      <c r="CN29" s="35">
        <f>IF('Valores de cálculo'!$G$4&lt;600,MIN(((600/'Valores de cálculo'!$G$4)^(0.1)),1.1),1)</f>
        <v>1.0413797439924106</v>
      </c>
      <c r="CO29" s="35">
        <f>IF('Valores de cálculo'!$G$4&lt;600,MIN(((600/'Valores de cálculo'!$G$4)^(0.1)),1.1),1)</f>
        <v>1.0413797439924106</v>
      </c>
      <c r="CP29" s="35">
        <f>IF('Valores de cálculo'!$G$4&lt;600,MIN(((600/'Valores de cálculo'!$G$4)^(0.1)),1.1),1)</f>
        <v>1.0413797439924106</v>
      </c>
      <c r="CQ29" s="35">
        <f>IF('Valores de cálculo'!$G$4&lt;600,MIN(((600/'Valores de cálculo'!$G$4)^(0.1)),1.1),1)</f>
        <v>1.0413797439924106</v>
      </c>
      <c r="CR29" s="35">
        <f>IF('Valores de cálculo'!$G$4&lt;600,MIN(((600/'Valores de cálculo'!$G$4)^(0.1)),1.1),1)</f>
        <v>1.0413797439924106</v>
      </c>
      <c r="CS29" s="35">
        <f>IF('Valores de cálculo'!$G$4&lt;600,MIN(((600/'Valores de cálculo'!$G$4)^(0.1)),1.1),1)</f>
        <v>1.0413797439924106</v>
      </c>
      <c r="CT29" s="35">
        <f>IF('Valores de cálculo'!$G$4&lt;600,MIN(((600/'Valores de cálculo'!$G$4)^(0.1)),1.1),1)</f>
        <v>1.0413797439924106</v>
      </c>
      <c r="CU29" s="35">
        <f>IF('Valores de cálculo'!$G$4&lt;600,MIN(((600/'Valores de cálculo'!$G$4)^(0.1)),1.1),1)</f>
        <v>1.0413797439924106</v>
      </c>
      <c r="CV29" s="35">
        <f>IF('Valores de cálculo'!$G$4&lt;600,MIN(((600/'Valores de cálculo'!$G$4)^(0.1)),1.1),1)</f>
        <v>1.0413797439924106</v>
      </c>
    </row>
    <row r="30" spans="1:100" x14ac:dyDescent="0.3">
      <c r="A30" s="5" t="s">
        <v>37</v>
      </c>
      <c r="B30" s="5" t="s">
        <v>43</v>
      </c>
      <c r="C30" s="7">
        <v>3.4</v>
      </c>
      <c r="D30" s="7">
        <v>4</v>
      </c>
      <c r="E30" s="7">
        <v>4</v>
      </c>
      <c r="F30" s="7">
        <v>4</v>
      </c>
      <c r="G30" s="7">
        <v>4</v>
      </c>
      <c r="H30" s="7">
        <v>4</v>
      </c>
      <c r="I30" s="7">
        <v>4.5</v>
      </c>
      <c r="J30" s="7">
        <v>5</v>
      </c>
      <c r="K30" s="17"/>
      <c r="L30" s="17"/>
      <c r="M30" s="17"/>
      <c r="N30" s="17"/>
      <c r="P30" s="2" t="s">
        <v>348</v>
      </c>
      <c r="Q30" s="13">
        <v>1</v>
      </c>
      <c r="R30" s="13">
        <v>1</v>
      </c>
      <c r="S30" s="13">
        <v>1</v>
      </c>
      <c r="T30" s="13">
        <v>1</v>
      </c>
      <c r="U30" s="13">
        <v>1</v>
      </c>
      <c r="V30" s="13">
        <v>1</v>
      </c>
      <c r="W30" s="13">
        <v>1</v>
      </c>
      <c r="X30" s="13">
        <v>1</v>
      </c>
      <c r="Y30" s="13">
        <v>1</v>
      </c>
      <c r="Z30" s="13">
        <v>1</v>
      </c>
      <c r="AA30" s="13">
        <v>1</v>
      </c>
      <c r="AB30" s="13">
        <v>1</v>
      </c>
      <c r="AC30" s="13">
        <v>1</v>
      </c>
      <c r="AD30" s="13">
        <v>1</v>
      </c>
      <c r="AE30" s="13">
        <v>1</v>
      </c>
      <c r="AF30" s="13">
        <v>1</v>
      </c>
      <c r="AG30" s="13">
        <v>1</v>
      </c>
      <c r="AH30" s="13">
        <v>1</v>
      </c>
      <c r="AI30" s="13">
        <v>1</v>
      </c>
      <c r="AJ30" s="13">
        <v>1</v>
      </c>
      <c r="AK30" s="13">
        <v>1</v>
      </c>
      <c r="AL30" s="13">
        <v>1</v>
      </c>
      <c r="AM30" s="13">
        <v>1</v>
      </c>
      <c r="AN30" s="13">
        <v>1</v>
      </c>
      <c r="AO30" s="13">
        <v>1</v>
      </c>
      <c r="AP30" s="13">
        <v>1</v>
      </c>
      <c r="AQ30" s="13">
        <v>1</v>
      </c>
      <c r="AR30" s="13">
        <v>1</v>
      </c>
      <c r="AS30" s="13">
        <v>1</v>
      </c>
      <c r="AT30" s="13">
        <v>1</v>
      </c>
      <c r="AU30" s="13">
        <v>1</v>
      </c>
      <c r="AV30" s="13">
        <v>1</v>
      </c>
      <c r="AW30" s="13">
        <v>1</v>
      </c>
      <c r="AX30" s="13">
        <v>1</v>
      </c>
      <c r="AY30" s="13">
        <v>1</v>
      </c>
      <c r="AZ30" s="13">
        <v>1</v>
      </c>
      <c r="BA30" s="13">
        <v>1</v>
      </c>
      <c r="BB30" s="13">
        <v>1</v>
      </c>
      <c r="BC30" s="13">
        <v>1</v>
      </c>
      <c r="BD30" s="13">
        <v>1</v>
      </c>
      <c r="BE30" s="13">
        <v>1</v>
      </c>
      <c r="BF30" s="13">
        <v>1</v>
      </c>
      <c r="BG30" s="13">
        <v>1</v>
      </c>
      <c r="BH30" s="13">
        <v>1</v>
      </c>
      <c r="BI30" s="13">
        <v>1</v>
      </c>
      <c r="BJ30" s="13">
        <v>1</v>
      </c>
      <c r="BK30" s="13">
        <v>1</v>
      </c>
      <c r="BL30" s="13">
        <v>1</v>
      </c>
      <c r="BM30" s="13">
        <v>1</v>
      </c>
      <c r="BN30" s="13">
        <v>1</v>
      </c>
      <c r="BO30" s="13">
        <v>1</v>
      </c>
      <c r="BP30" s="13">
        <v>1</v>
      </c>
      <c r="BQ30" s="13">
        <v>1</v>
      </c>
      <c r="BR30" s="13">
        <v>1</v>
      </c>
      <c r="BS30" s="13">
        <v>1</v>
      </c>
      <c r="BT30" s="13">
        <v>1</v>
      </c>
      <c r="BU30" s="13">
        <v>1</v>
      </c>
      <c r="BV30" s="13">
        <v>1</v>
      </c>
      <c r="BW30" s="13">
        <v>1</v>
      </c>
      <c r="BX30" s="13">
        <v>1</v>
      </c>
      <c r="BY30" s="36">
        <f>MIN(1,((0.01)/'Comprobación secciones'!$J$6)^(0.2))</f>
        <v>0.79244659623055669</v>
      </c>
      <c r="BZ30" s="36">
        <f>MIN(1,((0.01)/'Comprobación secciones'!$J$6)^(0.2))</f>
        <v>0.79244659623055669</v>
      </c>
      <c r="CA30" s="36">
        <f>MIN(1,((0.01)/'Comprobación secciones'!$J$6)^(0.2))</f>
        <v>0.79244659623055669</v>
      </c>
      <c r="CB30" s="36">
        <f>MIN(1,((0.01)/'Comprobación secciones'!$J$6)^(0.2))</f>
        <v>0.79244659623055669</v>
      </c>
      <c r="CC30" s="36">
        <f>MIN(1,((0.01)/'Comprobación secciones'!$J$6)^(0.2))</f>
        <v>0.79244659623055669</v>
      </c>
      <c r="CD30" s="36">
        <f>MIN(1,((0.01)/'Comprobación secciones'!$J$6)^(0.2))</f>
        <v>0.79244659623055669</v>
      </c>
      <c r="CE30" s="36">
        <f>MIN(1,((0.01)/'Comprobación secciones'!$J$6)^(0.2))</f>
        <v>0.79244659623055669</v>
      </c>
      <c r="CF30" s="36">
        <f>MIN(1,((0.01)/'Comprobación secciones'!$J$6)^(0.2))</f>
        <v>0.79244659623055669</v>
      </c>
      <c r="CG30" s="36">
        <f>MIN(1,((0.01)/'Comprobación secciones'!$J$6)^(0.2))</f>
        <v>0.79244659623055669</v>
      </c>
      <c r="CH30" s="36">
        <f>MIN(1,((0.01)/'Comprobación secciones'!$J$6)^(0.2))</f>
        <v>0.79244659623055669</v>
      </c>
      <c r="CI30" s="36">
        <f>MIN(1,((0.01)/'Comprobación secciones'!$J$6)^(0.2))</f>
        <v>0.79244659623055669</v>
      </c>
      <c r="CJ30" s="36">
        <f>MIN(1,((0.01)/'Comprobación secciones'!$J$6)^(0.2))</f>
        <v>0.79244659623055669</v>
      </c>
      <c r="CK30" s="36">
        <f>MIN(1,((0.01)/'Comprobación secciones'!$J$6)^(0.2))</f>
        <v>0.79244659623055669</v>
      </c>
      <c r="CL30" s="36">
        <f>MIN(1,((0.01)/'Comprobación secciones'!$J$6)^(0.2))</f>
        <v>0.79244659623055669</v>
      </c>
      <c r="CM30" s="36">
        <f>MIN(1,((0.01)/'Comprobación secciones'!$J$6)^(0.2))</f>
        <v>0.79244659623055669</v>
      </c>
      <c r="CN30" s="36">
        <f>MIN(1,((0.01)/'Comprobación secciones'!$J$6)^(0.2))</f>
        <v>0.79244659623055669</v>
      </c>
      <c r="CO30" s="36">
        <f>MIN(1,((0.01)/'Comprobación secciones'!$J$6)^(0.2))</f>
        <v>0.79244659623055669</v>
      </c>
      <c r="CP30" s="36">
        <f>MIN(1,((0.01)/'Comprobación secciones'!$J$6)^(0.2))</f>
        <v>0.79244659623055669</v>
      </c>
      <c r="CQ30" s="36">
        <f>MIN(1,((0.01)/'Comprobación secciones'!$J$6)^(0.2))</f>
        <v>0.79244659623055669</v>
      </c>
      <c r="CR30" s="36">
        <f>MIN(1,((0.01)/'Comprobación secciones'!$J$6)^(0.2))</f>
        <v>0.79244659623055669</v>
      </c>
      <c r="CS30" s="36">
        <f>MIN(1,((0.01)/'Comprobación secciones'!$J$6)^(0.2))</f>
        <v>0.79244659623055669</v>
      </c>
      <c r="CT30" s="36">
        <f>MIN(1,((0.01)/'Comprobación secciones'!$J$6)^(0.2))</f>
        <v>0.79244659623055669</v>
      </c>
      <c r="CU30" s="36">
        <f>MIN(1,((0.01)/'Comprobación secciones'!$J$6)^(0.2))</f>
        <v>0.79244659623055669</v>
      </c>
      <c r="CV30" s="36">
        <f>MIN(1,((0.01)/'Comprobación secciones'!$J$6)^(0.2))</f>
        <v>0.79244659623055669</v>
      </c>
    </row>
    <row r="31" spans="1:100" x14ac:dyDescent="0.3">
      <c r="A31" s="270" t="s">
        <v>45</v>
      </c>
      <c r="B31" s="271"/>
      <c r="C31" s="266"/>
      <c r="D31" s="266"/>
      <c r="E31" s="266"/>
      <c r="F31" s="266"/>
      <c r="G31" s="266"/>
      <c r="H31" s="266"/>
      <c r="I31" s="266"/>
      <c r="J31" s="267"/>
      <c r="K31" s="16"/>
      <c r="L31" s="16"/>
      <c r="M31" s="16"/>
      <c r="N31" s="16"/>
    </row>
    <row r="32" spans="1:100" ht="28.8" x14ac:dyDescent="0.3">
      <c r="A32" s="11" t="s">
        <v>46</v>
      </c>
      <c r="B32" s="12" t="s">
        <v>50</v>
      </c>
      <c r="C32" s="5">
        <v>10</v>
      </c>
      <c r="D32" s="5">
        <v>11</v>
      </c>
      <c r="E32" s="5">
        <v>12</v>
      </c>
      <c r="F32" s="5">
        <v>12</v>
      </c>
      <c r="G32" s="5">
        <v>13</v>
      </c>
      <c r="H32" s="5">
        <v>14</v>
      </c>
      <c r="I32" s="5">
        <v>17</v>
      </c>
      <c r="J32" s="5">
        <v>20</v>
      </c>
      <c r="K32" s="3"/>
      <c r="L32" s="3"/>
      <c r="M32" s="3"/>
      <c r="N32" s="3"/>
      <c r="Q32" s="25"/>
    </row>
    <row r="33" spans="1:46" ht="28.8" x14ac:dyDescent="0.3">
      <c r="A33" s="11" t="s">
        <v>47</v>
      </c>
      <c r="B33" s="12" t="s">
        <v>51</v>
      </c>
      <c r="C33" s="7">
        <v>8.4</v>
      </c>
      <c r="D33" s="7">
        <v>9.1999999999999993</v>
      </c>
      <c r="E33" s="7">
        <v>10.1</v>
      </c>
      <c r="F33" s="7">
        <v>10.1</v>
      </c>
      <c r="G33" s="7">
        <v>10.9</v>
      </c>
      <c r="H33" s="7">
        <v>11.8</v>
      </c>
      <c r="I33" s="7">
        <v>14.3</v>
      </c>
      <c r="J33" s="7">
        <v>16.8</v>
      </c>
      <c r="K33" s="17"/>
      <c r="L33" s="17"/>
      <c r="M33" s="17"/>
      <c r="N33" s="17"/>
    </row>
    <row r="34" spans="1:46" ht="28.8" x14ac:dyDescent="0.3">
      <c r="A34" s="11" t="s">
        <v>48</v>
      </c>
      <c r="B34" s="12" t="s">
        <v>52</v>
      </c>
      <c r="C34" s="13">
        <v>0.67</v>
      </c>
      <c r="D34" s="13">
        <v>0.73</v>
      </c>
      <c r="E34" s="13">
        <v>0.8</v>
      </c>
      <c r="F34" s="13">
        <v>0.8</v>
      </c>
      <c r="G34" s="13">
        <v>0.86</v>
      </c>
      <c r="H34" s="13">
        <v>0.93</v>
      </c>
      <c r="I34" s="13">
        <v>1.1200000000000001</v>
      </c>
      <c r="J34" s="13">
        <v>1.33</v>
      </c>
      <c r="K34" s="10"/>
      <c r="L34" s="10"/>
      <c r="M34" s="10"/>
      <c r="N34" s="10"/>
    </row>
    <row r="35" spans="1:46" x14ac:dyDescent="0.3">
      <c r="A35" s="14" t="s">
        <v>49</v>
      </c>
      <c r="B35" s="12" t="s">
        <v>53</v>
      </c>
      <c r="C35" s="13">
        <v>0.63</v>
      </c>
      <c r="D35" s="13">
        <v>0.69</v>
      </c>
      <c r="E35" s="13">
        <v>0.75</v>
      </c>
      <c r="F35" s="13">
        <v>0.75</v>
      </c>
      <c r="G35" s="13">
        <v>0.81</v>
      </c>
      <c r="H35" s="6">
        <v>0.88</v>
      </c>
      <c r="I35" s="6">
        <v>1.06</v>
      </c>
      <c r="J35" s="6">
        <v>1.25</v>
      </c>
      <c r="K35" s="4"/>
      <c r="L35" s="4"/>
      <c r="M35" s="4"/>
      <c r="N35" s="4"/>
      <c r="Q35" s="5" t="s">
        <v>98</v>
      </c>
      <c r="R35" s="5" t="s">
        <v>99</v>
      </c>
      <c r="S35" s="5" t="s">
        <v>97</v>
      </c>
      <c r="T35" s="5" t="s">
        <v>96</v>
      </c>
      <c r="U35" s="5" t="s">
        <v>93</v>
      </c>
      <c r="V35" s="5" t="s">
        <v>103</v>
      </c>
      <c r="W35" s="5" t="s">
        <v>104</v>
      </c>
      <c r="X35" s="5" t="s">
        <v>102</v>
      </c>
      <c r="Y35" s="5" t="s">
        <v>101</v>
      </c>
      <c r="Z35" s="5" t="s">
        <v>100</v>
      </c>
      <c r="AA35" s="5" t="s">
        <v>108</v>
      </c>
      <c r="AB35" s="5" t="s">
        <v>109</v>
      </c>
      <c r="AC35" s="5" t="s">
        <v>107</v>
      </c>
      <c r="AD35" s="5" t="s">
        <v>106</v>
      </c>
      <c r="AE35" s="5" t="s">
        <v>105</v>
      </c>
      <c r="AF35" s="5" t="s">
        <v>113</v>
      </c>
      <c r="AG35" s="5" t="s">
        <v>114</v>
      </c>
      <c r="AH35" s="5" t="s">
        <v>112</v>
      </c>
      <c r="AI35" s="5" t="s">
        <v>111</v>
      </c>
      <c r="AJ35" s="5" t="s">
        <v>110</v>
      </c>
      <c r="AK35" s="5" t="s">
        <v>118</v>
      </c>
      <c r="AL35" s="5" t="s">
        <v>119</v>
      </c>
      <c r="AM35" s="5" t="s">
        <v>117</v>
      </c>
      <c r="AN35" s="5" t="s">
        <v>116</v>
      </c>
      <c r="AO35" s="5" t="s">
        <v>115</v>
      </c>
      <c r="AP35" s="5" t="s">
        <v>123</v>
      </c>
      <c r="AQ35" s="5" t="s">
        <v>124</v>
      </c>
      <c r="AR35" s="5" t="s">
        <v>122</v>
      </c>
      <c r="AS35" s="5" t="s">
        <v>121</v>
      </c>
      <c r="AT35" s="5" t="s">
        <v>120</v>
      </c>
    </row>
    <row r="36" spans="1:46" x14ac:dyDescent="0.3">
      <c r="A36" s="270" t="s">
        <v>54</v>
      </c>
      <c r="B36" s="271"/>
      <c r="C36" s="266"/>
      <c r="D36" s="266"/>
      <c r="E36" s="266"/>
      <c r="F36" s="266"/>
      <c r="G36" s="266"/>
      <c r="H36" s="266"/>
      <c r="I36" s="266"/>
      <c r="J36" s="267"/>
      <c r="K36" s="16"/>
      <c r="L36" s="16"/>
      <c r="M36" s="16"/>
      <c r="N36" s="16"/>
      <c r="P36" s="21" t="s">
        <v>94</v>
      </c>
      <c r="Q36" s="6">
        <v>1.3</v>
      </c>
      <c r="R36" s="6">
        <v>1.3</v>
      </c>
      <c r="S36" s="6">
        <v>1.3</v>
      </c>
      <c r="T36" s="6">
        <v>1.3</v>
      </c>
      <c r="U36" s="6">
        <v>1.3</v>
      </c>
      <c r="V36" s="6">
        <v>1.3</v>
      </c>
      <c r="W36" s="6">
        <v>1.3</v>
      </c>
      <c r="X36" s="6">
        <v>1.3</v>
      </c>
      <c r="Y36" s="6">
        <v>1.3</v>
      </c>
      <c r="Z36" s="6">
        <v>1.3</v>
      </c>
      <c r="AA36" s="6">
        <v>1.3</v>
      </c>
      <c r="AB36" s="6">
        <v>1.3</v>
      </c>
      <c r="AC36" s="6">
        <v>1.3</v>
      </c>
      <c r="AD36" s="6">
        <v>1.3</v>
      </c>
      <c r="AE36" s="6">
        <v>1.3</v>
      </c>
      <c r="AF36" s="6">
        <v>1.25</v>
      </c>
      <c r="AG36" s="6">
        <v>1.25</v>
      </c>
      <c r="AH36" s="6">
        <v>1.25</v>
      </c>
      <c r="AI36" s="6">
        <v>1.25</v>
      </c>
      <c r="AJ36" s="6">
        <v>1.25</v>
      </c>
      <c r="AK36" s="6">
        <v>1.25</v>
      </c>
      <c r="AL36" s="6">
        <v>1.25</v>
      </c>
      <c r="AM36" s="6">
        <v>1.25</v>
      </c>
      <c r="AN36" s="6">
        <v>1.25</v>
      </c>
      <c r="AO36" s="6">
        <v>1.25</v>
      </c>
      <c r="AP36" s="6">
        <v>1.25</v>
      </c>
      <c r="AQ36" s="6">
        <v>1.25</v>
      </c>
      <c r="AR36" s="6">
        <v>1.25</v>
      </c>
      <c r="AS36" s="6">
        <v>1.25</v>
      </c>
      <c r="AT36" s="6">
        <v>1.25</v>
      </c>
    </row>
    <row r="37" spans="1:46" x14ac:dyDescent="0.3">
      <c r="A37" s="15" t="s">
        <v>55</v>
      </c>
      <c r="B37" s="12" t="s">
        <v>58</v>
      </c>
      <c r="C37" s="5">
        <v>500</v>
      </c>
      <c r="D37" s="5">
        <v>520</v>
      </c>
      <c r="E37" s="5">
        <v>530</v>
      </c>
      <c r="F37" s="5">
        <v>540</v>
      </c>
      <c r="G37" s="5">
        <v>550</v>
      </c>
      <c r="H37" s="5">
        <v>620</v>
      </c>
      <c r="I37" s="5">
        <v>700</v>
      </c>
      <c r="J37" s="5">
        <v>900</v>
      </c>
      <c r="K37" s="3"/>
      <c r="L37" s="3"/>
      <c r="M37" s="3"/>
      <c r="N37" s="3"/>
      <c r="P37" s="21" t="s">
        <v>95</v>
      </c>
      <c r="Q37" s="6">
        <v>0.9</v>
      </c>
      <c r="R37" s="6">
        <v>1.1000000000000001</v>
      </c>
      <c r="S37" s="6">
        <v>0.8</v>
      </c>
      <c r="T37" s="6">
        <v>0.7</v>
      </c>
      <c r="U37" s="6">
        <v>0.6</v>
      </c>
      <c r="V37" s="6">
        <v>0.9</v>
      </c>
      <c r="W37" s="6">
        <v>1.1000000000000001</v>
      </c>
      <c r="X37" s="6">
        <v>0.8</v>
      </c>
      <c r="Y37" s="6">
        <v>0.7</v>
      </c>
      <c r="Z37" s="6">
        <v>0.6</v>
      </c>
      <c r="AA37" s="6">
        <v>0.7</v>
      </c>
      <c r="AB37" s="6">
        <v>0.9</v>
      </c>
      <c r="AC37" s="6">
        <v>0.65</v>
      </c>
      <c r="AD37" s="6">
        <v>0.55000000000000004</v>
      </c>
      <c r="AE37" s="6">
        <v>0.5</v>
      </c>
      <c r="AF37" s="6">
        <v>0.9</v>
      </c>
      <c r="AG37" s="6">
        <v>1.1000000000000001</v>
      </c>
      <c r="AH37" s="6">
        <v>0.8</v>
      </c>
      <c r="AI37" s="6">
        <v>0.7</v>
      </c>
      <c r="AJ37" s="6">
        <v>0.6</v>
      </c>
      <c r="AK37" s="6">
        <v>0.9</v>
      </c>
      <c r="AL37" s="6">
        <v>1.1000000000000001</v>
      </c>
      <c r="AM37" s="6">
        <v>0.8</v>
      </c>
      <c r="AN37" s="6">
        <v>0.7</v>
      </c>
      <c r="AO37" s="6">
        <v>0.6</v>
      </c>
      <c r="AP37" s="6">
        <v>0.7</v>
      </c>
      <c r="AQ37" s="6">
        <v>0.9</v>
      </c>
      <c r="AR37" s="6">
        <v>0.65</v>
      </c>
      <c r="AS37" s="6">
        <v>0.55000000000000004</v>
      </c>
      <c r="AT37" s="6">
        <v>0.5</v>
      </c>
    </row>
    <row r="38" spans="1:46" x14ac:dyDescent="0.3">
      <c r="A38" s="15" t="s">
        <v>56</v>
      </c>
      <c r="B38" s="12" t="s">
        <v>57</v>
      </c>
      <c r="C38" s="5">
        <v>610</v>
      </c>
      <c r="D38" s="5">
        <v>630</v>
      </c>
      <c r="E38" s="5">
        <v>640</v>
      </c>
      <c r="F38" s="5">
        <v>650</v>
      </c>
      <c r="G38" s="5">
        <v>660</v>
      </c>
      <c r="H38" s="5">
        <v>750</v>
      </c>
      <c r="I38" s="5">
        <v>840</v>
      </c>
      <c r="J38" s="5">
        <v>1080</v>
      </c>
      <c r="K38" s="3"/>
      <c r="L38" s="3"/>
      <c r="M38" s="3"/>
      <c r="N38" s="3"/>
      <c r="P38" s="2" t="s">
        <v>127</v>
      </c>
      <c r="Q38" s="13">
        <v>0.67</v>
      </c>
      <c r="R38" s="13">
        <v>0.67</v>
      </c>
      <c r="S38" s="13">
        <v>0.67</v>
      </c>
      <c r="T38" s="13">
        <v>0.67</v>
      </c>
      <c r="U38" s="13">
        <v>0.67</v>
      </c>
      <c r="V38" s="13">
        <v>0.67</v>
      </c>
      <c r="W38" s="13">
        <v>0.67</v>
      </c>
      <c r="X38" s="13">
        <v>0.67</v>
      </c>
      <c r="Y38" s="13">
        <v>0.67</v>
      </c>
      <c r="Z38" s="13">
        <v>0.67</v>
      </c>
      <c r="AA38" s="13">
        <v>0.67</v>
      </c>
      <c r="AB38" s="13">
        <v>0.67</v>
      </c>
      <c r="AC38" s="13">
        <v>0.67</v>
      </c>
      <c r="AD38" s="13">
        <v>0.67</v>
      </c>
      <c r="AE38" s="13">
        <v>0.67</v>
      </c>
      <c r="AF38" s="13">
        <v>0.67</v>
      </c>
      <c r="AG38" s="13">
        <v>0.67</v>
      </c>
      <c r="AH38" s="13">
        <v>0.67</v>
      </c>
      <c r="AI38" s="13">
        <v>0.67</v>
      </c>
      <c r="AJ38" s="13">
        <v>0.67</v>
      </c>
      <c r="AK38" s="13">
        <v>0.67</v>
      </c>
      <c r="AL38" s="13">
        <v>0.67</v>
      </c>
      <c r="AM38" s="13">
        <v>0.67</v>
      </c>
      <c r="AN38" s="13">
        <v>0.67</v>
      </c>
      <c r="AO38" s="13">
        <v>0.67</v>
      </c>
      <c r="AP38" s="13">
        <v>0.67</v>
      </c>
      <c r="AQ38" s="13">
        <v>0.67</v>
      </c>
      <c r="AR38" s="13">
        <v>0.67</v>
      </c>
      <c r="AS38" s="13">
        <v>0.67</v>
      </c>
      <c r="AT38" s="13">
        <v>0.67</v>
      </c>
    </row>
    <row r="39" spans="1:46" x14ac:dyDescent="0.3">
      <c r="P39" s="2" t="s">
        <v>130</v>
      </c>
      <c r="Q39" s="13">
        <v>0.7</v>
      </c>
      <c r="R39" s="13">
        <v>0.7</v>
      </c>
      <c r="S39" s="13">
        <v>0.7</v>
      </c>
      <c r="T39" s="13">
        <v>0.7</v>
      </c>
      <c r="U39" s="13">
        <v>0.7</v>
      </c>
      <c r="V39" s="13">
        <v>0.7</v>
      </c>
      <c r="W39" s="13">
        <v>0.7</v>
      </c>
      <c r="X39" s="13">
        <v>0.7</v>
      </c>
      <c r="Y39" s="13">
        <v>0.7</v>
      </c>
      <c r="Z39" s="13">
        <v>0.7</v>
      </c>
      <c r="AA39" s="13">
        <v>0.7</v>
      </c>
      <c r="AB39" s="13">
        <v>0.7</v>
      </c>
      <c r="AC39" s="13">
        <v>0.7</v>
      </c>
      <c r="AD39" s="13">
        <v>0.7</v>
      </c>
      <c r="AE39" s="13">
        <v>0.7</v>
      </c>
      <c r="AF39" s="13">
        <v>0.7</v>
      </c>
      <c r="AG39" s="13">
        <v>0.7</v>
      </c>
      <c r="AH39" s="13">
        <v>0.7</v>
      </c>
      <c r="AI39" s="13">
        <v>0.7</v>
      </c>
      <c r="AJ39" s="13">
        <v>0.7</v>
      </c>
      <c r="AK39" s="13">
        <v>0.7</v>
      </c>
      <c r="AL39" s="13">
        <v>0.7</v>
      </c>
      <c r="AM39" s="13">
        <v>0.7</v>
      </c>
      <c r="AN39" s="13">
        <v>0.7</v>
      </c>
      <c r="AO39" s="13">
        <v>0.7</v>
      </c>
      <c r="AP39" s="13">
        <v>0.7</v>
      </c>
      <c r="AQ39" s="13">
        <v>0.7</v>
      </c>
      <c r="AR39" s="13">
        <v>0.7</v>
      </c>
      <c r="AS39" s="13">
        <v>0.7</v>
      </c>
      <c r="AT39" s="13">
        <v>0.7</v>
      </c>
    </row>
    <row r="40" spans="1:46" x14ac:dyDescent="0.3">
      <c r="A40" s="272" t="s">
        <v>72</v>
      </c>
      <c r="B40" s="273"/>
      <c r="C40" s="273"/>
      <c r="D40" s="273"/>
      <c r="E40" s="273"/>
      <c r="F40" s="274"/>
      <c r="G40" s="18"/>
      <c r="H40" s="16"/>
      <c r="I40" s="16"/>
      <c r="J40" s="16"/>
    </row>
    <row r="41" spans="1:46" x14ac:dyDescent="0.3">
      <c r="A41" s="218" t="s">
        <v>18</v>
      </c>
      <c r="B41" s="218"/>
      <c r="C41" s="275" t="s">
        <v>19</v>
      </c>
      <c r="D41" s="266"/>
      <c r="E41" s="266"/>
      <c r="F41" s="267"/>
      <c r="G41" s="16"/>
      <c r="H41" s="16"/>
      <c r="I41" s="16"/>
      <c r="J41" s="16"/>
    </row>
    <row r="42" spans="1:46" x14ac:dyDescent="0.3">
      <c r="A42" s="218"/>
      <c r="B42" s="218"/>
      <c r="C42" s="5" t="s">
        <v>68</v>
      </c>
      <c r="D42" s="5" t="s">
        <v>69</v>
      </c>
      <c r="E42" s="5" t="s">
        <v>70</v>
      </c>
      <c r="F42" s="5" t="s">
        <v>71</v>
      </c>
      <c r="G42" s="3"/>
      <c r="H42" s="3"/>
      <c r="I42" s="3"/>
      <c r="J42" s="3"/>
    </row>
    <row r="43" spans="1:46" x14ac:dyDescent="0.3">
      <c r="A43" s="268" t="s">
        <v>38</v>
      </c>
      <c r="B43" s="269"/>
      <c r="C43" s="266"/>
      <c r="D43" s="266"/>
      <c r="E43" s="266"/>
      <c r="F43" s="267"/>
      <c r="G43" s="16"/>
      <c r="H43" s="16"/>
      <c r="I43" s="16"/>
      <c r="J43" s="16"/>
    </row>
    <row r="44" spans="1:46" x14ac:dyDescent="0.3">
      <c r="A44" s="5" t="s">
        <v>32</v>
      </c>
      <c r="B44" s="5" t="s">
        <v>73</v>
      </c>
      <c r="C44" s="5">
        <v>24</v>
      </c>
      <c r="D44" s="5">
        <v>28</v>
      </c>
      <c r="E44" s="5">
        <v>32</v>
      </c>
      <c r="F44" s="5">
        <v>36</v>
      </c>
      <c r="G44" s="3"/>
      <c r="H44" s="3"/>
      <c r="I44" s="3"/>
      <c r="J44" s="3"/>
    </row>
    <row r="45" spans="1:46" x14ac:dyDescent="0.3">
      <c r="A45" s="5" t="s">
        <v>33</v>
      </c>
      <c r="B45" s="5" t="s">
        <v>82</v>
      </c>
      <c r="C45" s="5">
        <v>16.5</v>
      </c>
      <c r="D45" s="5">
        <v>19.5</v>
      </c>
      <c r="E45" s="5">
        <v>22.5</v>
      </c>
      <c r="F45" s="5">
        <v>26</v>
      </c>
      <c r="G45" s="3"/>
      <c r="H45" s="3"/>
      <c r="I45" s="3"/>
      <c r="J45" s="3"/>
    </row>
    <row r="46" spans="1:46" x14ac:dyDescent="0.3">
      <c r="A46" s="5" t="s">
        <v>34</v>
      </c>
      <c r="B46" s="5" t="s">
        <v>81</v>
      </c>
      <c r="C46" s="5">
        <v>0.4</v>
      </c>
      <c r="D46" s="5">
        <v>0.45</v>
      </c>
      <c r="E46" s="5">
        <v>0.5</v>
      </c>
      <c r="F46" s="5">
        <v>0.6</v>
      </c>
      <c r="G46" s="3"/>
      <c r="H46" s="3"/>
      <c r="I46" s="3"/>
      <c r="J46" s="3"/>
    </row>
    <row r="47" spans="1:46" x14ac:dyDescent="0.3">
      <c r="A47" s="5" t="s">
        <v>35</v>
      </c>
      <c r="B47" s="5" t="s">
        <v>80</v>
      </c>
      <c r="C47" s="5">
        <v>24</v>
      </c>
      <c r="D47" s="5">
        <v>26.5</v>
      </c>
      <c r="E47" s="5">
        <v>29</v>
      </c>
      <c r="F47" s="5">
        <v>31</v>
      </c>
      <c r="G47" s="3"/>
      <c r="H47" s="3"/>
      <c r="I47" s="3"/>
      <c r="J47" s="3"/>
    </row>
    <row r="48" spans="1:46" x14ac:dyDescent="0.3">
      <c r="A48" s="5" t="s">
        <v>36</v>
      </c>
      <c r="B48" s="5" t="s">
        <v>79</v>
      </c>
      <c r="C48" s="7">
        <v>2.7</v>
      </c>
      <c r="D48" s="7">
        <v>3</v>
      </c>
      <c r="E48" s="7">
        <v>3.3</v>
      </c>
      <c r="F48" s="7">
        <v>2.6</v>
      </c>
      <c r="G48" s="17"/>
      <c r="H48" s="17"/>
      <c r="I48" s="17"/>
      <c r="J48" s="17"/>
    </row>
    <row r="49" spans="1:10" x14ac:dyDescent="0.3">
      <c r="A49" s="5" t="s">
        <v>37</v>
      </c>
      <c r="B49" s="5" t="s">
        <v>78</v>
      </c>
      <c r="C49" s="7">
        <v>2.7</v>
      </c>
      <c r="D49" s="7">
        <v>3.2</v>
      </c>
      <c r="E49" s="7">
        <v>2.8</v>
      </c>
      <c r="F49" s="7">
        <v>4.3</v>
      </c>
      <c r="G49" s="17"/>
      <c r="H49" s="17"/>
      <c r="I49" s="17"/>
      <c r="J49" s="17"/>
    </row>
    <row r="50" spans="1:10" x14ac:dyDescent="0.3">
      <c r="A50" s="270" t="s">
        <v>45</v>
      </c>
      <c r="B50" s="271"/>
      <c r="C50" s="266"/>
      <c r="D50" s="266"/>
      <c r="E50" s="266"/>
      <c r="F50" s="267"/>
      <c r="G50" s="16"/>
      <c r="H50" s="16"/>
      <c r="I50" s="16"/>
      <c r="J50" s="16"/>
    </row>
    <row r="51" spans="1:10" ht="28.8" x14ac:dyDescent="0.3">
      <c r="A51" s="11" t="s">
        <v>46</v>
      </c>
      <c r="B51" s="12" t="s">
        <v>77</v>
      </c>
      <c r="C51" s="5">
        <v>11.6</v>
      </c>
      <c r="D51" s="5">
        <v>12.6</v>
      </c>
      <c r="E51" s="5">
        <v>13.7</v>
      </c>
      <c r="F51" s="5">
        <v>14.7</v>
      </c>
      <c r="G51" s="3"/>
      <c r="H51" s="3"/>
      <c r="I51" s="3"/>
      <c r="J51" s="3"/>
    </row>
    <row r="52" spans="1:10" ht="28.8" x14ac:dyDescent="0.3">
      <c r="A52" s="11" t="s">
        <v>47</v>
      </c>
      <c r="B52" s="12" t="s">
        <v>76</v>
      </c>
      <c r="C52" s="7">
        <v>9.4</v>
      </c>
      <c r="D52" s="7">
        <v>10.199999999999999</v>
      </c>
      <c r="E52" s="7">
        <v>11.1</v>
      </c>
      <c r="F52" s="7">
        <v>11.9</v>
      </c>
      <c r="G52" s="17"/>
      <c r="H52" s="17"/>
      <c r="I52" s="17"/>
      <c r="J52" s="17"/>
    </row>
    <row r="53" spans="1:10" ht="28.8" x14ac:dyDescent="0.3">
      <c r="A53" s="11" t="s">
        <v>48</v>
      </c>
      <c r="B53" s="12" t="s">
        <v>75</v>
      </c>
      <c r="C53" s="13">
        <v>0.39</v>
      </c>
      <c r="D53" s="13">
        <v>0.42</v>
      </c>
      <c r="E53" s="13">
        <v>0.46</v>
      </c>
      <c r="F53" s="13">
        <v>0.49</v>
      </c>
      <c r="G53" s="10"/>
      <c r="H53" s="10"/>
      <c r="I53" s="10"/>
      <c r="J53" s="10"/>
    </row>
    <row r="54" spans="1:10" x14ac:dyDescent="0.3">
      <c r="A54" s="14" t="s">
        <v>49</v>
      </c>
      <c r="B54" s="12" t="s">
        <v>74</v>
      </c>
      <c r="C54" s="13">
        <v>0.72</v>
      </c>
      <c r="D54" s="13">
        <v>0.78</v>
      </c>
      <c r="E54" s="13">
        <v>0.85</v>
      </c>
      <c r="F54" s="13">
        <v>0.91</v>
      </c>
      <c r="G54" s="10"/>
      <c r="H54" s="4"/>
      <c r="I54" s="4"/>
      <c r="J54" s="4"/>
    </row>
    <row r="55" spans="1:10" x14ac:dyDescent="0.3">
      <c r="A55" s="270" t="s">
        <v>54</v>
      </c>
      <c r="B55" s="271"/>
      <c r="C55" s="266"/>
      <c r="D55" s="266"/>
      <c r="E55" s="266"/>
      <c r="F55" s="267"/>
      <c r="G55" s="16"/>
      <c r="H55" s="16"/>
      <c r="I55" s="16"/>
      <c r="J55" s="16"/>
    </row>
    <row r="56" spans="1:10" x14ac:dyDescent="0.3">
      <c r="A56" s="15" t="s">
        <v>55</v>
      </c>
      <c r="B56" s="12" t="s">
        <v>58</v>
      </c>
      <c r="C56" s="5">
        <v>380</v>
      </c>
      <c r="D56" s="5">
        <v>410</v>
      </c>
      <c r="E56" s="5">
        <v>430</v>
      </c>
      <c r="F56" s="5">
        <v>450</v>
      </c>
      <c r="G56" s="3"/>
      <c r="H56" s="3"/>
      <c r="I56" s="3"/>
      <c r="J56" s="3"/>
    </row>
    <row r="57" spans="1:10" x14ac:dyDescent="0.3">
      <c r="A57" s="8"/>
      <c r="B57" s="9"/>
      <c r="C57" s="3"/>
      <c r="D57" s="3"/>
      <c r="E57" s="3"/>
      <c r="F57" s="3"/>
      <c r="G57" s="3"/>
      <c r="H57" s="3"/>
      <c r="I57" s="3"/>
      <c r="J57" s="3"/>
    </row>
    <row r="58" spans="1:10" x14ac:dyDescent="0.3">
      <c r="A58" s="276" t="s">
        <v>83</v>
      </c>
      <c r="B58" s="277"/>
      <c r="C58" s="277"/>
      <c r="D58" s="277"/>
      <c r="E58" s="277"/>
      <c r="F58" s="278"/>
    </row>
    <row r="59" spans="1:10" x14ac:dyDescent="0.3">
      <c r="A59" s="218" t="s">
        <v>18</v>
      </c>
      <c r="B59" s="218"/>
      <c r="C59" s="275" t="s">
        <v>19</v>
      </c>
      <c r="D59" s="266"/>
      <c r="E59" s="266"/>
      <c r="F59" s="267"/>
    </row>
    <row r="60" spans="1:10" x14ac:dyDescent="0.3">
      <c r="A60" s="218"/>
      <c r="B60" s="218"/>
      <c r="C60" s="5" t="s">
        <v>84</v>
      </c>
      <c r="D60" s="5" t="s">
        <v>85</v>
      </c>
      <c r="E60" s="5" t="s">
        <v>86</v>
      </c>
      <c r="F60" s="5" t="s">
        <v>87</v>
      </c>
    </row>
    <row r="61" spans="1:10" x14ac:dyDescent="0.3">
      <c r="A61" s="268" t="s">
        <v>38</v>
      </c>
      <c r="B61" s="269"/>
      <c r="C61" s="266"/>
      <c r="D61" s="266"/>
      <c r="E61" s="266"/>
      <c r="F61" s="267"/>
    </row>
    <row r="62" spans="1:10" x14ac:dyDescent="0.3">
      <c r="A62" s="5" t="s">
        <v>32</v>
      </c>
      <c r="B62" s="5" t="s">
        <v>73</v>
      </c>
      <c r="C62" s="5">
        <v>24</v>
      </c>
      <c r="D62" s="5">
        <v>28</v>
      </c>
      <c r="E62" s="5">
        <v>32</v>
      </c>
      <c r="F62" s="5">
        <v>36</v>
      </c>
    </row>
    <row r="63" spans="1:10" x14ac:dyDescent="0.3">
      <c r="A63" s="5" t="s">
        <v>33</v>
      </c>
      <c r="B63" s="5" t="s">
        <v>82</v>
      </c>
      <c r="C63" s="5">
        <v>14</v>
      </c>
      <c r="D63" s="5">
        <v>16.5</v>
      </c>
      <c r="E63" s="5">
        <v>19.5</v>
      </c>
      <c r="F63" s="5">
        <v>22.5</v>
      </c>
    </row>
    <row r="64" spans="1:10" x14ac:dyDescent="0.3">
      <c r="A64" s="5" t="s">
        <v>34</v>
      </c>
      <c r="B64" s="5" t="s">
        <v>81</v>
      </c>
      <c r="C64" s="5">
        <v>0.35</v>
      </c>
      <c r="D64" s="5">
        <v>0.4</v>
      </c>
      <c r="E64" s="5">
        <v>0.45</v>
      </c>
      <c r="F64" s="5">
        <v>0.5</v>
      </c>
    </row>
    <row r="65" spans="1:6" x14ac:dyDescent="0.3">
      <c r="A65" s="5" t="s">
        <v>35</v>
      </c>
      <c r="B65" s="5" t="s">
        <v>80</v>
      </c>
      <c r="C65" s="5">
        <v>21</v>
      </c>
      <c r="D65" s="5">
        <v>24</v>
      </c>
      <c r="E65" s="5">
        <v>26.5</v>
      </c>
      <c r="F65" s="5">
        <v>29</v>
      </c>
    </row>
    <row r="66" spans="1:6" x14ac:dyDescent="0.3">
      <c r="A66" s="5" t="s">
        <v>36</v>
      </c>
      <c r="B66" s="5" t="s">
        <v>79</v>
      </c>
      <c r="C66" s="7">
        <v>2.4</v>
      </c>
      <c r="D66" s="7">
        <v>2.7</v>
      </c>
      <c r="E66" s="7">
        <v>3</v>
      </c>
      <c r="F66" s="7">
        <v>3.3</v>
      </c>
    </row>
    <row r="67" spans="1:6" x14ac:dyDescent="0.3">
      <c r="A67" s="5" t="s">
        <v>37</v>
      </c>
      <c r="B67" s="5" t="s">
        <v>78</v>
      </c>
      <c r="C67" s="7">
        <v>2.2000000000000002</v>
      </c>
      <c r="D67" s="7">
        <v>2.7</v>
      </c>
      <c r="E67" s="7">
        <v>3.2</v>
      </c>
      <c r="F67" s="7">
        <v>2.8</v>
      </c>
    </row>
    <row r="68" spans="1:6" x14ac:dyDescent="0.3">
      <c r="A68" s="270" t="s">
        <v>45</v>
      </c>
      <c r="B68" s="271"/>
      <c r="C68" s="266"/>
      <c r="D68" s="266"/>
      <c r="E68" s="266"/>
      <c r="F68" s="267"/>
    </row>
    <row r="69" spans="1:6" ht="28.8" x14ac:dyDescent="0.3">
      <c r="A69" s="11" t="s">
        <v>46</v>
      </c>
      <c r="B69" s="12" t="s">
        <v>77</v>
      </c>
      <c r="C69" s="5">
        <v>11.6</v>
      </c>
      <c r="D69" s="5">
        <v>12.6</v>
      </c>
      <c r="E69" s="5">
        <v>13.7</v>
      </c>
      <c r="F69" s="5">
        <v>14.7</v>
      </c>
    </row>
    <row r="70" spans="1:6" ht="28.8" x14ac:dyDescent="0.3">
      <c r="A70" s="11" t="s">
        <v>47</v>
      </c>
      <c r="B70" s="12" t="s">
        <v>76</v>
      </c>
      <c r="C70" s="7">
        <v>9.4</v>
      </c>
      <c r="D70" s="7">
        <v>10.199999999999999</v>
      </c>
      <c r="E70" s="7">
        <v>11.1</v>
      </c>
      <c r="F70" s="7">
        <v>11.9</v>
      </c>
    </row>
    <row r="71" spans="1:6" ht="28.8" x14ac:dyDescent="0.3">
      <c r="A71" s="11" t="s">
        <v>48</v>
      </c>
      <c r="B71" s="12" t="s">
        <v>75</v>
      </c>
      <c r="C71" s="13">
        <v>0.32</v>
      </c>
      <c r="D71" s="13">
        <v>0.39</v>
      </c>
      <c r="E71" s="13">
        <v>0.42</v>
      </c>
      <c r="F71" s="13">
        <v>0.46</v>
      </c>
    </row>
    <row r="72" spans="1:6" x14ac:dyDescent="0.3">
      <c r="A72" s="14" t="s">
        <v>49</v>
      </c>
      <c r="B72" s="12" t="s">
        <v>74</v>
      </c>
      <c r="C72" s="13">
        <v>0.59</v>
      </c>
      <c r="D72" s="13">
        <v>0.72</v>
      </c>
      <c r="E72" s="13">
        <v>0.78</v>
      </c>
      <c r="F72" s="13">
        <v>0.85</v>
      </c>
    </row>
    <row r="73" spans="1:6" x14ac:dyDescent="0.3">
      <c r="A73" s="270" t="s">
        <v>54</v>
      </c>
      <c r="B73" s="271"/>
      <c r="C73" s="266"/>
      <c r="D73" s="266"/>
      <c r="E73" s="266"/>
      <c r="F73" s="267"/>
    </row>
    <row r="74" spans="1:6" x14ac:dyDescent="0.3">
      <c r="A74" s="15" t="s">
        <v>55</v>
      </c>
      <c r="B74" s="12" t="s">
        <v>58</v>
      </c>
      <c r="C74" s="5">
        <v>350</v>
      </c>
      <c r="D74" s="5">
        <v>380</v>
      </c>
      <c r="E74" s="5">
        <v>410</v>
      </c>
      <c r="F74" s="5">
        <v>430</v>
      </c>
    </row>
  </sheetData>
  <sheetProtection algorithmName="SHA-512" hashValue="o6Snvvnm3YYYbmVB2TLZURFu1iJMqFGwOknbHRZiwBBESnzMsIQGk9tufuB4yV+RBE1gPQokaLeKBeCJqNQe4w==" saltValue="9rAOFbVrO44YbPgBBya9DA==" spinCount="100000" sheet="1" objects="1" scenarios="1"/>
  <mergeCells count="36">
    <mergeCell ref="A2:N2"/>
    <mergeCell ref="C3:N3"/>
    <mergeCell ref="A12:B12"/>
    <mergeCell ref="C12:N12"/>
    <mergeCell ref="A17:B17"/>
    <mergeCell ref="C17:N17"/>
    <mergeCell ref="C5:N5"/>
    <mergeCell ref="A3:B4"/>
    <mergeCell ref="A5:B5"/>
    <mergeCell ref="A73:B73"/>
    <mergeCell ref="C73:F73"/>
    <mergeCell ref="C55:F55"/>
    <mergeCell ref="A58:F58"/>
    <mergeCell ref="A59:B60"/>
    <mergeCell ref="C59:F59"/>
    <mergeCell ref="A61:B61"/>
    <mergeCell ref="C61:F61"/>
    <mergeCell ref="A55:B55"/>
    <mergeCell ref="A68:B68"/>
    <mergeCell ref="C68:F68"/>
    <mergeCell ref="A50:B50"/>
    <mergeCell ref="A40:F40"/>
    <mergeCell ref="C41:F41"/>
    <mergeCell ref="C43:F43"/>
    <mergeCell ref="C50:F50"/>
    <mergeCell ref="A21:J21"/>
    <mergeCell ref="C22:J22"/>
    <mergeCell ref="C31:J31"/>
    <mergeCell ref="A41:B42"/>
    <mergeCell ref="A43:B43"/>
    <mergeCell ref="C24:J24"/>
    <mergeCell ref="C36:J36"/>
    <mergeCell ref="A22:B23"/>
    <mergeCell ref="A24:B24"/>
    <mergeCell ref="A31:B31"/>
    <mergeCell ref="A36:B36"/>
  </mergeCells>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52B6F-BA7E-4694-930B-F6A457413A21}">
  <dimension ref="A1:AY160"/>
  <sheetViews>
    <sheetView topLeftCell="A47" zoomScale="25" zoomScaleNormal="25" workbookViewId="0">
      <selection activeCell="M14" sqref="M14"/>
    </sheetView>
  </sheetViews>
  <sheetFormatPr baseColWidth="10" defaultRowHeight="14.4" x14ac:dyDescent="0.3"/>
  <cols>
    <col min="2" max="2" width="16.5546875" customWidth="1"/>
    <col min="3" max="3" width="8.5546875" customWidth="1"/>
    <col min="5" max="5" width="9.6640625" customWidth="1"/>
    <col min="7" max="7" width="15.109375" customWidth="1"/>
    <col min="8" max="8" width="11.77734375" bestFit="1" customWidth="1"/>
    <col min="10" max="10" width="25" customWidth="1"/>
    <col min="11" max="11" width="12.6640625" bestFit="1" customWidth="1"/>
    <col min="12" max="12" width="12.21875" customWidth="1"/>
    <col min="13" max="13" width="12.6640625" bestFit="1" customWidth="1"/>
    <col min="14" max="14" width="15.44140625" customWidth="1"/>
    <col min="15" max="15" width="12.21875" customWidth="1"/>
    <col min="16" max="16" width="25.88671875" customWidth="1"/>
    <col min="17" max="17" width="16.5546875" customWidth="1"/>
    <col min="18" max="18" width="13.33203125" customWidth="1"/>
    <col min="20" max="20" width="25.6640625" bestFit="1" customWidth="1"/>
    <col min="23" max="23" width="17" customWidth="1"/>
    <col min="24" max="24" width="11.33203125" customWidth="1"/>
    <col min="25" max="25" width="11.6640625" customWidth="1"/>
    <col min="28" max="28" width="16.88671875" customWidth="1"/>
    <col min="36" max="36" width="13.88671875" customWidth="1"/>
    <col min="38" max="38" width="16.6640625" customWidth="1"/>
    <col min="42" max="42" width="13" customWidth="1"/>
  </cols>
  <sheetData>
    <row r="1" spans="1:37" x14ac:dyDescent="0.3">
      <c r="A1" t="s">
        <v>291</v>
      </c>
      <c r="J1" s="31"/>
      <c r="M1" t="s">
        <v>372</v>
      </c>
      <c r="N1" t="s">
        <v>373</v>
      </c>
      <c r="U1" s="25"/>
    </row>
    <row r="2" spans="1:37" x14ac:dyDescent="0.3">
      <c r="A2" t="s">
        <v>280</v>
      </c>
      <c r="J2" s="31"/>
      <c r="Q2" t="s">
        <v>260</v>
      </c>
      <c r="T2" t="s">
        <v>276</v>
      </c>
      <c r="U2" s="25"/>
      <c r="V2" t="s">
        <v>277</v>
      </c>
      <c r="Y2" t="s">
        <v>318</v>
      </c>
      <c r="Z2" t="s">
        <v>317</v>
      </c>
      <c r="AB2" t="s">
        <v>281</v>
      </c>
      <c r="AI2" t="s">
        <v>377</v>
      </c>
    </row>
    <row r="3" spans="1:37" x14ac:dyDescent="0.3">
      <c r="A3" s="1" t="s">
        <v>268</v>
      </c>
      <c r="B3" s="1"/>
      <c r="C3" s="1"/>
      <c r="D3" s="1"/>
      <c r="J3" s="31"/>
      <c r="Q3" t="s">
        <v>261</v>
      </c>
      <c r="R3" s="25">
        <f>IF('Comprobación uniones'!$C$27="Con taladro previo",'Valores c. de las uniones'!U3,IF('Comprobación uniones'!$C$27="Sin taladro previo",'Valores c. de las uniones'!W3,""))</f>
        <v>28.667200000000001</v>
      </c>
      <c r="T3" t="s">
        <v>261</v>
      </c>
      <c r="U3" s="25">
        <f>0.082*(1-0.01*R10)*'Valores de cálculo'!C16</f>
        <v>28.667200000000001</v>
      </c>
      <c r="V3" t="s">
        <v>261</v>
      </c>
      <c r="W3" s="25">
        <f>0.082*'Valores de cálculo'!C16*(('Valores c. de las uniones'!R10)^(-0.3))</f>
        <v>16.698230546315447</v>
      </c>
      <c r="Y3" t="s">
        <v>319</v>
      </c>
      <c r="Z3" t="s">
        <v>354</v>
      </c>
      <c r="AB3" s="25" t="s">
        <v>282</v>
      </c>
      <c r="AC3" s="25"/>
      <c r="AD3" s="25"/>
      <c r="AE3" s="25"/>
      <c r="AF3" s="25"/>
      <c r="AI3" t="s">
        <v>378</v>
      </c>
      <c r="AJ3" s="30">
        <f>MAX(0.75,AK3)</f>
        <v>0.75</v>
      </c>
      <c r="AK3" s="30">
        <f>1-(('Comprobación uniones'!C18-(15*'Comprobación uniones'!C15))/(20*R10))</f>
        <v>-0.75</v>
      </c>
    </row>
    <row r="4" spans="1:37" x14ac:dyDescent="0.3">
      <c r="A4" s="1" t="s">
        <v>244</v>
      </c>
      <c r="B4" s="1"/>
      <c r="F4" s="1" t="s">
        <v>251</v>
      </c>
      <c r="G4" s="1"/>
      <c r="J4" s="32" t="s">
        <v>244</v>
      </c>
      <c r="K4" s="29">
        <f>MIN(B5:B10)</f>
        <v>2293.3760000000002</v>
      </c>
      <c r="L4" s="29"/>
      <c r="M4" s="29">
        <f>VLOOKUP('Comprobación uniones'!C26,'Valores c. de las uniones'!J4:K5,2,FALSE)</f>
        <v>2293.3760000000002</v>
      </c>
      <c r="N4" s="29">
        <f>M4*$U$23*'Comprobación uniones'!$C$21</f>
        <v>20640.384000000002</v>
      </c>
      <c r="O4" s="29"/>
      <c r="Q4" t="s">
        <v>262</v>
      </c>
      <c r="R4" s="25">
        <f>IF('Comprobación uniones'!$C$27="Con taladro previo",'Valores c. de las uniones'!U4,IF('Comprobación uniones'!$C$27="Sin taladro previo",'Valores c. de las uniones'!W4,""))</f>
        <v>28.667200000000001</v>
      </c>
      <c r="T4" t="s">
        <v>262</v>
      </c>
      <c r="U4" s="25">
        <f>0.082*(1-0.01*R10)*'Valores de cálculo'!C16</f>
        <v>28.667200000000001</v>
      </c>
      <c r="V4" t="s">
        <v>262</v>
      </c>
      <c r="W4" s="25">
        <f>(0.082*'Valores de cálculo'!C16*(('Valores c. de las uniones'!R10)^(-0.3)))</f>
        <v>16.698230546315447</v>
      </c>
      <c r="Y4" t="s">
        <v>279</v>
      </c>
      <c r="AB4" s="25" t="s">
        <v>245</v>
      </c>
      <c r="AC4" s="25">
        <f>AF4*R10*R11</f>
        <v>2310.4</v>
      </c>
      <c r="AD4" s="25">
        <f>MIN(AC4,AC5)</f>
        <v>2310.4</v>
      </c>
      <c r="AE4" s="25" t="s">
        <v>283</v>
      </c>
      <c r="AF4" s="25">
        <f>20*(10^(-6))*('Valores de cálculo'!C16^2)</f>
        <v>2.8879999999999999</v>
      </c>
      <c r="AI4" t="s">
        <v>379</v>
      </c>
      <c r="AJ4">
        <f>IF('Comprobación uniones'!C26="Cortadura simple",1,IF('Comprobación uniones'!C26="Cortadura doble",2,0))</f>
        <v>1</v>
      </c>
    </row>
    <row r="5" spans="1:37" x14ac:dyDescent="0.3">
      <c r="A5" t="s">
        <v>245</v>
      </c>
      <c r="B5" s="25">
        <f>R3*R5*R10</f>
        <v>2293.3760000000002</v>
      </c>
      <c r="C5" s="25"/>
      <c r="D5" s="25"/>
      <c r="E5" s="25"/>
      <c r="F5" s="25" t="s">
        <v>245</v>
      </c>
      <c r="G5" s="25">
        <f>R3*R5*R10*2</f>
        <v>4586.7520000000004</v>
      </c>
      <c r="H5" s="25"/>
      <c r="I5" s="25"/>
      <c r="J5" s="33" t="s">
        <v>251</v>
      </c>
      <c r="K5" s="29">
        <f>MIN(G5:G8)</f>
        <v>4586.7520000000004</v>
      </c>
      <c r="L5" s="29"/>
      <c r="M5" s="29"/>
      <c r="N5" s="29"/>
      <c r="O5" s="29"/>
      <c r="Q5" s="25" t="s">
        <v>265</v>
      </c>
      <c r="R5" s="25">
        <f>'Comprobación uniones'!C12</f>
        <v>10</v>
      </c>
      <c r="S5" s="25"/>
      <c r="T5" s="25"/>
      <c r="U5" s="25"/>
      <c r="V5" s="25"/>
      <c r="W5" s="25"/>
      <c r="X5" s="25"/>
      <c r="Y5" s="25"/>
      <c r="Z5" s="25"/>
      <c r="AA5" s="25"/>
      <c r="AB5" s="25" t="s">
        <v>246</v>
      </c>
      <c r="AC5" s="25">
        <f>(AF4*R10*R6)+(AF5*(R10^2))</f>
        <v>4805.6320000000005</v>
      </c>
      <c r="AD5" s="25"/>
      <c r="AE5" s="25" t="s">
        <v>284</v>
      </c>
      <c r="AF5" s="25">
        <f>70*(10^(-6))*('Valores de cálculo'!C16^2)</f>
        <v>10.107999999999999</v>
      </c>
      <c r="AI5" t="s">
        <v>380</v>
      </c>
      <c r="AJ5">
        <v>0.5</v>
      </c>
    </row>
    <row r="6" spans="1:37" x14ac:dyDescent="0.3">
      <c r="A6" t="s">
        <v>246</v>
      </c>
      <c r="B6" s="25">
        <f>R4*R6*R10</f>
        <v>41280.768000000004</v>
      </c>
      <c r="C6" s="25"/>
      <c r="D6" s="25"/>
      <c r="E6" s="25"/>
      <c r="F6" s="25" t="s">
        <v>246</v>
      </c>
      <c r="G6" s="25">
        <f>0.5*R4*R6*R10*2</f>
        <v>41280.768000000004</v>
      </c>
      <c r="H6" s="25"/>
      <c r="I6" s="25"/>
      <c r="J6" s="34"/>
      <c r="N6" s="29"/>
      <c r="Q6" s="25" t="s">
        <v>266</v>
      </c>
      <c r="R6" s="25">
        <f>'Comprobación uniones'!C13</f>
        <v>180</v>
      </c>
      <c r="S6" s="25"/>
      <c r="T6" s="25"/>
      <c r="U6" s="25"/>
      <c r="V6" s="25"/>
      <c r="W6" s="25"/>
      <c r="X6" s="25"/>
      <c r="Y6" s="25"/>
      <c r="Z6" s="25"/>
      <c r="AA6" s="25"/>
      <c r="AB6" s="25"/>
      <c r="AC6" s="25"/>
      <c r="AD6" s="25"/>
      <c r="AE6" s="25"/>
      <c r="AF6" s="25"/>
      <c r="AI6" t="s">
        <v>381</v>
      </c>
      <c r="AJ6">
        <f>'Comprobación uniones'!C16</f>
        <v>600</v>
      </c>
    </row>
    <row r="7" spans="1:37" x14ac:dyDescent="0.3">
      <c r="A7" t="s">
        <v>247</v>
      </c>
      <c r="B7" s="25">
        <f>(B5/(1+R7))*((R7+(2*R7*R7*(1+(R6/R5)+((R6/R5)^2)))+((R7)^3)*((R6/R5)^2))^(0.5))-(R7*(1+(R6/R5)))</f>
        <v>36441.351018699534</v>
      </c>
      <c r="C7" s="25"/>
      <c r="D7" s="25"/>
      <c r="E7" s="25"/>
      <c r="F7" s="25" t="s">
        <v>247</v>
      </c>
      <c r="G7" s="25">
        <f>1.05*(B5/(2+R7))*(((2*R7*(1+R7)+((4*R7*(2+R7)*R8)/(R3*R10*(R5^2))))^0.5)-R7)*2</f>
        <v>6419.847395817058</v>
      </c>
      <c r="H7" s="25"/>
      <c r="I7" s="25"/>
      <c r="J7" s="34"/>
      <c r="N7" s="29"/>
      <c r="Q7" s="26" t="s">
        <v>258</v>
      </c>
      <c r="R7" s="25">
        <f>R4/R3</f>
        <v>1</v>
      </c>
      <c r="S7" s="25"/>
      <c r="T7" s="25"/>
      <c r="U7" s="25"/>
      <c r="V7" s="25"/>
      <c r="W7" s="25"/>
      <c r="X7" s="25"/>
      <c r="Y7" s="25"/>
      <c r="Z7" s="25"/>
      <c r="AA7" s="25"/>
      <c r="AI7" t="s">
        <v>382</v>
      </c>
      <c r="AJ7">
        <v>1.25</v>
      </c>
    </row>
    <row r="8" spans="1:37" x14ac:dyDescent="0.3">
      <c r="A8" t="s">
        <v>248</v>
      </c>
      <c r="B8" s="25">
        <f>1.05*(B5/(2+R7))*(((2*R7*(1+R7)+((4.5*R7*(2+R7)*R8)/(R3*R10*(R5^2))^0.5))-R7))</f>
        <v>2872831.1407873244</v>
      </c>
      <c r="C8" s="25"/>
      <c r="D8" s="25"/>
      <c r="E8" s="25"/>
      <c r="F8" s="25" t="s">
        <v>248</v>
      </c>
      <c r="G8" s="25">
        <f>1.15*(((2*R7)/(1+R7))^0.5)*((2*R8*R3*R10)^0.5)*2</f>
        <v>9865.8316669740307</v>
      </c>
      <c r="H8" s="25"/>
      <c r="I8" s="25"/>
      <c r="J8" s="34"/>
      <c r="N8" s="29"/>
      <c r="Q8" s="26" t="s">
        <v>263</v>
      </c>
      <c r="R8" s="25">
        <f>(R9/600)*180*(R10^(2.6))</f>
        <v>40114.969956685396</v>
      </c>
      <c r="S8" s="25"/>
      <c r="T8" s="25"/>
      <c r="U8" s="25"/>
      <c r="V8" s="25"/>
      <c r="W8" s="25"/>
      <c r="X8" s="25"/>
      <c r="Y8" s="25"/>
      <c r="Z8" s="25"/>
      <c r="AA8" s="25"/>
      <c r="AB8" s="25"/>
      <c r="AC8" s="25"/>
      <c r="AD8" s="25"/>
      <c r="AE8" s="25"/>
      <c r="AF8" s="25"/>
      <c r="AI8" t="s">
        <v>383</v>
      </c>
      <c r="AJ8">
        <f>3.1415*('Comprobación uniones'!C15/2)^2</f>
        <v>50.264000000000003</v>
      </c>
    </row>
    <row r="9" spans="1:37" x14ac:dyDescent="0.3">
      <c r="A9" t="s">
        <v>249</v>
      </c>
      <c r="B9" s="25">
        <f>1.05*((R3*R6*R10)/(1+(2*R7)))*(((2*(R7^2)*(1+R7)+((4.5*R7*(1+2*R7)*R8)/(R3*R10*(R6^2))))^0.5)-R7)</f>
        <v>14710.334935865239</v>
      </c>
      <c r="C9" s="25"/>
      <c r="D9" s="25"/>
      <c r="E9" s="25"/>
      <c r="F9" s="25"/>
      <c r="G9" s="25"/>
      <c r="H9" s="25"/>
      <c r="I9" s="25"/>
      <c r="J9" s="34"/>
      <c r="N9" s="29"/>
      <c r="Q9" s="26" t="s">
        <v>264</v>
      </c>
      <c r="R9" s="25">
        <f>'Comprobación uniones'!C16</f>
        <v>600</v>
      </c>
      <c r="S9" s="25"/>
      <c r="T9" s="25"/>
      <c r="U9" s="25"/>
      <c r="V9" s="25"/>
      <c r="W9" s="25"/>
      <c r="X9" s="25"/>
      <c r="Y9" s="25"/>
      <c r="Z9" s="25"/>
      <c r="AA9" s="25"/>
      <c r="AB9" s="25"/>
      <c r="AC9" s="25"/>
      <c r="AD9" s="25"/>
      <c r="AE9" s="25"/>
      <c r="AF9" s="25"/>
    </row>
    <row r="10" spans="1:37" x14ac:dyDescent="0.3">
      <c r="A10" t="s">
        <v>250</v>
      </c>
      <c r="B10" s="25">
        <f>1.15*(((2*R7)/(1+R7))^0.5)*((2*R8*R3*R10)^0.5)</f>
        <v>4932.9158334870153</v>
      </c>
      <c r="C10" s="25"/>
      <c r="D10" s="25"/>
      <c r="E10" s="25"/>
      <c r="F10" s="25"/>
      <c r="G10" s="25"/>
      <c r="H10" s="25"/>
      <c r="I10" s="25"/>
      <c r="J10" s="34"/>
      <c r="N10" s="29"/>
      <c r="Q10" s="26" t="s">
        <v>267</v>
      </c>
      <c r="R10" s="25">
        <f>'Comprobación uniones'!C15</f>
        <v>8</v>
      </c>
      <c r="S10" s="25"/>
      <c r="T10" s="25"/>
      <c r="U10" s="25"/>
      <c r="V10" s="25"/>
      <c r="W10" s="25"/>
      <c r="X10" s="25"/>
      <c r="Y10" s="25"/>
      <c r="Z10" s="25"/>
      <c r="AA10" s="25"/>
      <c r="AB10" s="25"/>
      <c r="AC10" s="25"/>
      <c r="AD10" s="25"/>
      <c r="AE10" s="25"/>
      <c r="AF10" s="25"/>
      <c r="AI10" t="s">
        <v>385</v>
      </c>
      <c r="AJ10" s="30">
        <f>AJ3*AJ4*AJ5*AJ6*AJ8/AJ7</f>
        <v>9047.52</v>
      </c>
    </row>
    <row r="11" spans="1:37" x14ac:dyDescent="0.3">
      <c r="C11" s="25"/>
      <c r="D11" s="25"/>
      <c r="E11" s="25"/>
      <c r="F11" s="25"/>
      <c r="G11" s="25"/>
      <c r="H11" s="25"/>
      <c r="I11" s="25"/>
      <c r="J11" s="34"/>
      <c r="N11" s="29"/>
      <c r="Q11" s="26" t="s">
        <v>285</v>
      </c>
      <c r="R11" s="25">
        <f>'Comprobación uniones'!C17</f>
        <v>100</v>
      </c>
      <c r="S11" s="25"/>
      <c r="T11" s="25"/>
      <c r="U11" s="25"/>
      <c r="V11" s="25"/>
      <c r="W11" s="25"/>
      <c r="X11" s="25"/>
      <c r="Y11" s="25"/>
      <c r="Z11" s="25"/>
      <c r="AA11" s="25"/>
      <c r="AB11" s="25"/>
      <c r="AC11" s="25"/>
      <c r="AD11" s="25"/>
      <c r="AE11" s="25"/>
      <c r="AF11" s="25"/>
    </row>
    <row r="12" spans="1:37" x14ac:dyDescent="0.3">
      <c r="B12" s="25"/>
      <c r="C12" s="25"/>
      <c r="D12" s="25"/>
      <c r="E12" s="25"/>
      <c r="F12" s="25"/>
      <c r="G12" s="25"/>
      <c r="H12" s="25"/>
      <c r="I12" s="25"/>
      <c r="J12" s="34"/>
      <c r="N12" s="29"/>
      <c r="Q12" s="25"/>
      <c r="R12" s="25"/>
      <c r="S12" s="25"/>
      <c r="T12" s="25"/>
      <c r="U12" s="25"/>
      <c r="V12" s="25"/>
      <c r="W12" s="25"/>
      <c r="X12" s="25"/>
      <c r="Y12" s="25"/>
      <c r="Z12" s="25"/>
      <c r="AA12" s="25"/>
      <c r="AB12" s="25"/>
      <c r="AC12" s="25"/>
      <c r="AD12" s="25"/>
      <c r="AE12" s="25"/>
      <c r="AF12" s="25"/>
    </row>
    <row r="13" spans="1:37" x14ac:dyDescent="0.3">
      <c r="A13" t="s">
        <v>269</v>
      </c>
      <c r="B13" s="25"/>
      <c r="C13" s="25"/>
      <c r="D13" s="25"/>
      <c r="E13" s="25"/>
      <c r="F13" s="25"/>
      <c r="G13" s="25"/>
      <c r="H13" s="25"/>
      <c r="I13" s="25"/>
      <c r="J13" s="34"/>
      <c r="N13" s="29"/>
      <c r="Q13" s="25" t="s">
        <v>270</v>
      </c>
      <c r="R13" s="25"/>
      <c r="S13" s="25"/>
      <c r="T13" s="25" t="s">
        <v>275</v>
      </c>
      <c r="U13" s="25"/>
      <c r="V13" s="25" t="s">
        <v>278</v>
      </c>
      <c r="W13" s="25"/>
      <c r="X13" s="25" t="s">
        <v>279</v>
      </c>
      <c r="Y13" s="25"/>
      <c r="Z13" s="25"/>
      <c r="AA13" s="25"/>
      <c r="AB13" s="25"/>
      <c r="AC13" s="25"/>
      <c r="AD13" s="25"/>
      <c r="AE13" s="25"/>
      <c r="AF13" s="25"/>
    </row>
    <row r="14" spans="1:37" x14ac:dyDescent="0.3">
      <c r="A14" s="1" t="s">
        <v>244</v>
      </c>
      <c r="B14" s="25"/>
      <c r="C14" s="25"/>
      <c r="D14" s="25"/>
      <c r="E14" s="25"/>
      <c r="F14" s="27" t="s">
        <v>251</v>
      </c>
      <c r="G14" s="25"/>
      <c r="H14" s="25"/>
      <c r="I14" s="25"/>
      <c r="J14" s="32" t="s">
        <v>244</v>
      </c>
      <c r="K14" s="29">
        <f>MIN(B15:B20)</f>
        <v>2357.9016175798452</v>
      </c>
      <c r="L14" s="29"/>
      <c r="M14" s="29">
        <f>VLOOKUP('Comprobación uniones'!F26,'Valores c. de las uniones'!J14:K15,2,FALSE)</f>
        <v>4715.8032351596903</v>
      </c>
      <c r="N14" s="29">
        <f>M14*$U$23*'Comprobación uniones'!$C$21</f>
        <v>42442.229116437215</v>
      </c>
      <c r="O14" s="29"/>
      <c r="Q14" s="25" t="s">
        <v>261</v>
      </c>
      <c r="R14" s="25">
        <f>IF('Comprobación uniones'!$F$27="Tablero contrachapado",'Valores c. de las uniones'!U14,IF('Comprobación uniones'!$F$27="OSB",'Valores c. de las uniones'!Y14,IF('Comprobación uniones'!$F$27="Tablero de fibras duro",'Valores c. de las uniones'!W14,"")))</f>
        <v>29.473770219748062</v>
      </c>
      <c r="S14" s="25"/>
      <c r="T14" s="25" t="s">
        <v>261</v>
      </c>
      <c r="U14" s="25">
        <f>0.11*'Comprobación uniones'!C23*('Valores c. de las uniones'!R10^(-0.3))</f>
        <v>29.473770219748062</v>
      </c>
      <c r="V14" s="25" t="s">
        <v>261</v>
      </c>
      <c r="W14" s="25">
        <f>30*(R10^(-0.3))*(R5^(-0.6))</f>
        <v>4.038259827295434</v>
      </c>
      <c r="X14" s="25" t="s">
        <v>261</v>
      </c>
      <c r="Y14" s="25">
        <f>65*(R10^(-0.7))*(R5^(-0.1))</f>
        <v>12.043434797987903</v>
      </c>
      <c r="Z14" s="25"/>
      <c r="AA14" s="25"/>
      <c r="AB14" s="25"/>
      <c r="AC14" s="25"/>
      <c r="AD14" s="25"/>
      <c r="AE14" s="25"/>
      <c r="AF14" s="25"/>
      <c r="AI14" t="s">
        <v>379</v>
      </c>
      <c r="AJ14">
        <f>IF('Comprobación uniones'!F26="Cortadura simple",1,IF('Comprobación uniones'!F26="Cortadura doble",2,0))</f>
        <v>2</v>
      </c>
    </row>
    <row r="15" spans="1:37" x14ac:dyDescent="0.3">
      <c r="A15" t="s">
        <v>245</v>
      </c>
      <c r="B15" s="25">
        <f>R14*R5*R10</f>
        <v>2357.9016175798452</v>
      </c>
      <c r="C15" s="25"/>
      <c r="D15" s="25"/>
      <c r="E15" s="25"/>
      <c r="F15" s="25" t="s">
        <v>245</v>
      </c>
      <c r="G15" s="25">
        <f>R14*R5*R10*2</f>
        <v>4715.8032351596903</v>
      </c>
      <c r="H15" s="25"/>
      <c r="I15" s="25"/>
      <c r="J15" s="33" t="s">
        <v>251</v>
      </c>
      <c r="K15" s="29">
        <f>MIN(G15:G18)</f>
        <v>4715.8032351596903</v>
      </c>
      <c r="L15" s="29"/>
      <c r="M15" s="29"/>
      <c r="N15" s="29"/>
      <c r="O15" s="29"/>
      <c r="Q15" s="25" t="s">
        <v>262</v>
      </c>
      <c r="R15" s="25">
        <f>IF('Comprobación uniones'!$F$27="Tablero contrachapado",'Valores c. de las uniones'!U15,IF('Comprobación uniones'!$F$27="OSB",'Valores c. de las uniones'!Y15,IF('Comprobación uniones'!$F$27="Tablero de fibras duro",'Valores c. de las uniones'!W15,"")))</f>
        <v>29.473770219748062</v>
      </c>
      <c r="S15" s="25"/>
      <c r="T15" s="25" t="s">
        <v>262</v>
      </c>
      <c r="U15" s="25">
        <f>(0.11*'Comprobación uniones'!C23*('Valores c. de las uniones'!R10^(-0.3)))</f>
        <v>29.473770219748062</v>
      </c>
      <c r="V15" s="25" t="s">
        <v>262</v>
      </c>
      <c r="W15" s="25">
        <f>30*(R10^(-0.3))*(R5^(-0.6))</f>
        <v>4.038259827295434</v>
      </c>
      <c r="X15" s="25" t="s">
        <v>262</v>
      </c>
      <c r="Y15" s="25">
        <f>(65*(R10^(-0.7))*(R5^(-0.1)))</f>
        <v>12.043434797987903</v>
      </c>
      <c r="Z15" s="25"/>
      <c r="AA15" s="25"/>
      <c r="AB15" s="25"/>
      <c r="AC15" s="25"/>
      <c r="AD15" s="25"/>
      <c r="AE15" s="25"/>
      <c r="AF15" s="25"/>
    </row>
    <row r="16" spans="1:37" x14ac:dyDescent="0.3">
      <c r="A16" t="s">
        <v>246</v>
      </c>
      <c r="B16" s="25">
        <f>R15*R6*R10</f>
        <v>42442.229116437207</v>
      </c>
      <c r="C16" s="25"/>
      <c r="D16" s="25"/>
      <c r="E16" s="25"/>
      <c r="F16" s="25" t="s">
        <v>246</v>
      </c>
      <c r="G16" s="25">
        <f>0.5*R15*R6*R10*2</f>
        <v>42442.229116437207</v>
      </c>
      <c r="H16" s="25"/>
      <c r="I16" s="25"/>
      <c r="J16" s="34"/>
      <c r="N16" s="29"/>
      <c r="Q16" s="25"/>
      <c r="R16" s="25"/>
      <c r="S16" s="25"/>
      <c r="T16" s="25"/>
      <c r="U16" s="25"/>
      <c r="V16" s="25"/>
      <c r="W16" s="25"/>
      <c r="X16" s="25"/>
      <c r="Y16" s="25"/>
      <c r="Z16" s="25"/>
      <c r="AA16" s="25"/>
      <c r="AB16" s="25"/>
      <c r="AC16" s="25"/>
      <c r="AD16" s="25"/>
      <c r="AE16" s="25"/>
      <c r="AF16" s="25"/>
      <c r="AI16" t="s">
        <v>385</v>
      </c>
      <c r="AJ16" s="30">
        <f>AJ3*AJ14*AJ5*AJ6*AJ8/AJ7</f>
        <v>18095.04</v>
      </c>
    </row>
    <row r="17" spans="1:39" x14ac:dyDescent="0.3">
      <c r="A17" t="s">
        <v>247</v>
      </c>
      <c r="B17" s="25">
        <f>(B15/(1+R7))*((R7+(2*R7*R7*(1+(R6/R5)+((R6/R5)^2)))+((R7)^3)*((R6/R5)^2))^(0.5))-(R7*(1+(R6/R5)))</f>
        <v>37467.186584546354</v>
      </c>
      <c r="C17" s="25"/>
      <c r="D17" s="25"/>
      <c r="E17" s="25"/>
      <c r="F17" s="25" t="s">
        <v>247</v>
      </c>
      <c r="G17" s="25">
        <f>1.05*(B15/(2+R7))*(((2*R7*(1+R7)+((4*R7*(2+R7)*R8)/(R14*R10*(R5^2))))^0.5)-R7)*2</f>
        <v>6505.0962362209902</v>
      </c>
      <c r="H17" s="25"/>
      <c r="I17" s="25"/>
      <c r="J17" s="34"/>
      <c r="N17" s="29"/>
      <c r="Q17" s="25"/>
      <c r="R17" s="25"/>
      <c r="S17" s="25"/>
      <c r="T17" s="25"/>
      <c r="U17" s="25"/>
      <c r="V17" s="25"/>
      <c r="W17" s="25"/>
      <c r="X17" s="25"/>
      <c r="Y17" s="25"/>
      <c r="Z17" s="25"/>
      <c r="AA17" s="25"/>
      <c r="AB17" s="25"/>
      <c r="AC17" s="25"/>
      <c r="AD17" s="25"/>
      <c r="AE17" s="25"/>
      <c r="AF17" s="25"/>
    </row>
    <row r="18" spans="1:39" x14ac:dyDescent="0.3">
      <c r="A18" t="s">
        <v>248</v>
      </c>
      <c r="B18" s="25">
        <f>1.05*(B15/(2+R7))*(((2*R7*(1+R7)+((4.5*R7*(2+R7)*R8)/(R14*R10*(R5^2))^0.5))-R7))</f>
        <v>2912999.3913844386</v>
      </c>
      <c r="C18" s="25"/>
      <c r="D18" s="25"/>
      <c r="E18" s="25"/>
      <c r="F18" s="25" t="s">
        <v>248</v>
      </c>
      <c r="G18" s="25">
        <f>1.15*(((2*R7)/(1+R7))^0.5)*((2*R8*R14*R10)^0.5)*2</f>
        <v>10003.659700226583</v>
      </c>
      <c r="H18" s="25"/>
      <c r="I18" s="25"/>
      <c r="J18" s="34"/>
      <c r="N18" s="29"/>
      <c r="Q18" s="25"/>
      <c r="R18" s="25"/>
      <c r="S18" s="25"/>
      <c r="T18" s="25"/>
      <c r="U18" s="25"/>
      <c r="V18" s="25"/>
      <c r="W18" s="25"/>
      <c r="X18" s="25"/>
      <c r="Y18" s="25"/>
      <c r="Z18" s="25"/>
      <c r="AA18" s="25"/>
      <c r="AB18" s="25"/>
      <c r="AC18" s="25"/>
      <c r="AD18" s="25"/>
      <c r="AE18" s="25"/>
      <c r="AF18" s="25"/>
    </row>
    <row r="19" spans="1:39" x14ac:dyDescent="0.3">
      <c r="A19" t="s">
        <v>249</v>
      </c>
      <c r="B19" s="25">
        <f>1.05*((R14*R6*R10)/(1+(2*R7)))*(((2*(R7^2)*(1+R7)+((4.5*R7*(1+2*R7)*R8)/(R3*R10*(R6^2))))^0.5)-R7)</f>
        <v>15124.219726908255</v>
      </c>
      <c r="C19" s="25"/>
      <c r="D19" s="25"/>
      <c r="E19" s="25"/>
      <c r="F19" s="25"/>
      <c r="G19" s="25"/>
      <c r="H19" s="25"/>
      <c r="I19" s="25"/>
      <c r="J19" s="34"/>
      <c r="N19" s="29"/>
      <c r="Q19" s="25"/>
      <c r="R19" s="25"/>
      <c r="S19" s="25"/>
      <c r="T19" s="25"/>
      <c r="U19" s="25"/>
      <c r="V19" s="25"/>
      <c r="W19" s="25"/>
      <c r="X19" s="25"/>
      <c r="Y19" s="25"/>
      <c r="Z19" s="25"/>
      <c r="AA19" s="25"/>
      <c r="AB19" s="25"/>
      <c r="AC19" s="25"/>
      <c r="AD19" s="25"/>
      <c r="AE19" s="25"/>
      <c r="AF19" s="25"/>
    </row>
    <row r="20" spans="1:39" x14ac:dyDescent="0.3">
      <c r="A20" t="s">
        <v>250</v>
      </c>
      <c r="B20" s="25">
        <f>1.15*(((2*R7)/(1+R7))^0.5)*((2*R8*R14*R10)^0.5)</f>
        <v>5001.8298501132913</v>
      </c>
      <c r="C20" s="25"/>
      <c r="D20" s="25"/>
      <c r="E20" s="25"/>
      <c r="F20" s="25"/>
      <c r="G20" s="25"/>
      <c r="H20" s="25"/>
      <c r="I20" s="25"/>
      <c r="J20" s="34"/>
      <c r="N20" s="29"/>
      <c r="Q20" s="25"/>
      <c r="R20" s="25"/>
      <c r="S20" s="25"/>
      <c r="T20" s="25"/>
      <c r="U20" s="25"/>
      <c r="V20" s="25"/>
      <c r="W20" s="25"/>
      <c r="X20" s="25"/>
      <c r="Y20" s="25"/>
      <c r="Z20" s="25"/>
      <c r="AA20" s="25"/>
      <c r="AB20" s="25"/>
      <c r="AC20" s="25"/>
      <c r="AD20" s="25"/>
      <c r="AE20" s="25"/>
      <c r="AF20" s="25"/>
    </row>
    <row r="21" spans="1:39" x14ac:dyDescent="0.3">
      <c r="B21" s="25"/>
      <c r="C21" s="25"/>
      <c r="D21" s="25"/>
      <c r="E21" s="25"/>
      <c r="F21" s="25"/>
      <c r="G21" s="25"/>
      <c r="H21" s="25"/>
      <c r="I21" s="25"/>
      <c r="J21" s="34"/>
      <c r="N21" s="29"/>
      <c r="Q21" s="25"/>
      <c r="R21" s="25"/>
      <c r="S21" s="25"/>
      <c r="T21" s="25"/>
      <c r="U21" s="25"/>
      <c r="V21" s="25"/>
      <c r="W21" s="25"/>
      <c r="X21" s="25"/>
      <c r="Y21" s="25"/>
      <c r="Z21" s="25"/>
      <c r="AA21" s="25"/>
      <c r="AB21" s="25"/>
      <c r="AC21" s="25"/>
      <c r="AD21" s="25"/>
      <c r="AE21" s="25"/>
      <c r="AF21" s="25"/>
    </row>
    <row r="22" spans="1:39" x14ac:dyDescent="0.3">
      <c r="B22" s="25"/>
      <c r="C22" s="25"/>
      <c r="D22" s="25"/>
      <c r="E22" s="25"/>
      <c r="F22" s="25"/>
      <c r="G22" s="25"/>
      <c r="H22" s="25"/>
      <c r="I22" s="25"/>
      <c r="J22" s="34"/>
      <c r="N22" s="29"/>
      <c r="Q22" s="25" t="s">
        <v>271</v>
      </c>
      <c r="R22" s="25"/>
      <c r="S22" s="25"/>
      <c r="T22" s="25" t="s">
        <v>359</v>
      </c>
      <c r="V22" s="25"/>
      <c r="X22" s="25"/>
      <c r="Y22" s="25"/>
      <c r="Z22" s="25"/>
      <c r="AA22" s="25"/>
      <c r="AB22" s="25"/>
      <c r="AC22" s="25"/>
      <c r="AD22" s="25"/>
      <c r="AE22" s="25"/>
      <c r="AF22" s="25"/>
      <c r="AI22" t="s">
        <v>379</v>
      </c>
      <c r="AJ22">
        <f>VLOOKUP('Comprobación uniones'!I26,'Valores c. de las uniones'!AL22:AM26,2,FALSE)</f>
        <v>2</v>
      </c>
      <c r="AL22" s="34" t="s">
        <v>312</v>
      </c>
      <c r="AM22">
        <v>1</v>
      </c>
    </row>
    <row r="23" spans="1:39" x14ac:dyDescent="0.3">
      <c r="A23" s="24" t="s">
        <v>252</v>
      </c>
      <c r="B23" s="28"/>
      <c r="C23" s="27"/>
      <c r="D23" s="27"/>
      <c r="E23" s="25"/>
      <c r="F23" s="25"/>
      <c r="G23" s="25"/>
      <c r="H23" s="25"/>
      <c r="I23" s="25"/>
      <c r="J23" s="34"/>
      <c r="N23" s="29"/>
      <c r="Q23" s="25" t="s">
        <v>261</v>
      </c>
      <c r="R23" s="25">
        <f>U3</f>
        <v>28.667200000000001</v>
      </c>
      <c r="S23" s="25"/>
      <c r="T23" s="25" t="s">
        <v>361</v>
      </c>
      <c r="U23" s="25">
        <f>'Comprobación uniones'!C20^W23</f>
        <v>3</v>
      </c>
      <c r="V23" s="25" t="s">
        <v>362</v>
      </c>
      <c r="W23" s="25">
        <f>IF('Comprobación uniones'!C19&gt;=14*'Comprobación uniones'!C15,1,IF(AND('Comprobación uniones'!C19&lt;14*'Comprobación uniones'!C15,'Comprobación uniones'!C19&gt;10*'Comprobación uniones'!C15),0.85,IF('Comprobación uniones'!C19&lt;10*'Comprobación uniones'!C15,0.7,0)))</f>
        <v>1</v>
      </c>
      <c r="X23" s="25"/>
      <c r="Y23" s="25"/>
      <c r="Z23" s="25"/>
      <c r="AA23" s="25"/>
      <c r="AB23" s="28"/>
      <c r="AC23" s="25"/>
      <c r="AD23" s="25"/>
      <c r="AE23" s="25"/>
      <c r="AF23" s="25"/>
      <c r="AL23" s="34" t="s">
        <v>313</v>
      </c>
      <c r="AM23">
        <v>1</v>
      </c>
    </row>
    <row r="24" spans="1:39" x14ac:dyDescent="0.3">
      <c r="A24" t="s">
        <v>244</v>
      </c>
      <c r="B24" s="25"/>
      <c r="C24" s="25"/>
      <c r="D24" s="25"/>
      <c r="E24" s="25"/>
      <c r="F24" s="25" t="s">
        <v>251</v>
      </c>
      <c r="G24" s="25"/>
      <c r="H24" s="25"/>
      <c r="I24" s="25"/>
      <c r="J24" s="34"/>
      <c r="N24" s="29"/>
      <c r="Q24" s="25" t="s">
        <v>262</v>
      </c>
      <c r="R24" s="25">
        <f>U3</f>
        <v>28.667200000000001</v>
      </c>
      <c r="S24" s="25"/>
      <c r="T24" s="25"/>
      <c r="U24" s="25"/>
      <c r="V24" s="25"/>
      <c r="X24" s="25"/>
      <c r="Y24" s="25"/>
      <c r="Z24" s="25"/>
      <c r="AA24" s="25"/>
      <c r="AI24" t="s">
        <v>385</v>
      </c>
      <c r="AJ24" s="30">
        <f>AJ3*AJ22*AJ5*AJ6*AJ8/AJ7</f>
        <v>18095.04</v>
      </c>
      <c r="AL24" s="34" t="s">
        <v>314</v>
      </c>
      <c r="AM24">
        <v>2</v>
      </c>
    </row>
    <row r="25" spans="1:39" x14ac:dyDescent="0.3">
      <c r="A25" t="s">
        <v>253</v>
      </c>
      <c r="B25" s="25">
        <f>0.4*R23*R5*R10</f>
        <v>917.35040000000015</v>
      </c>
      <c r="C25" s="25"/>
      <c r="D25" s="25"/>
      <c r="E25" s="25"/>
      <c r="F25" s="25" t="s">
        <v>253</v>
      </c>
      <c r="G25" s="25">
        <f>R23*R5*R10*2</f>
        <v>4586.7520000000004</v>
      </c>
      <c r="H25" s="25"/>
      <c r="I25" s="25"/>
      <c r="J25" s="34" t="s">
        <v>312</v>
      </c>
      <c r="K25" s="29">
        <f>MIN(B25:B26)</f>
        <v>917.35040000000015</v>
      </c>
      <c r="L25" s="29"/>
      <c r="M25" s="29">
        <f>VLOOKUP('Comprobación uniones'!I26,'Valores c. de las uniones'!J25:K29,2,FALSE)</f>
        <v>4586.7520000000004</v>
      </c>
      <c r="N25" s="29">
        <f>M25*$U$23*'Comprobación uniones'!$C$21</f>
        <v>41280.768000000004</v>
      </c>
      <c r="O25" s="29"/>
      <c r="Q25" s="25"/>
      <c r="R25" s="25"/>
      <c r="S25" s="25"/>
      <c r="T25" s="25"/>
      <c r="U25" s="25"/>
      <c r="V25" s="25"/>
      <c r="W25" s="25"/>
      <c r="X25" s="25"/>
      <c r="Y25" s="25"/>
      <c r="Z25" s="25"/>
      <c r="AA25" s="25"/>
      <c r="AL25" s="34" t="s">
        <v>315</v>
      </c>
      <c r="AM25">
        <v>2</v>
      </c>
    </row>
    <row r="26" spans="1:39" x14ac:dyDescent="0.3">
      <c r="A26" t="s">
        <v>254</v>
      </c>
      <c r="B26" s="25">
        <f>1.15*((2*R8*R23*R10)^0.5)</f>
        <v>4932.9158334870153</v>
      </c>
      <c r="C26" s="25"/>
      <c r="D26" s="25"/>
      <c r="E26" s="25"/>
      <c r="F26" s="25" t="s">
        <v>254</v>
      </c>
      <c r="G26" s="25">
        <f>B27*2</f>
        <v>9170.9557582721372</v>
      </c>
      <c r="H26" s="25"/>
      <c r="I26" s="25"/>
      <c r="J26" s="34" t="s">
        <v>313</v>
      </c>
      <c r="K26" s="29">
        <f>MIN(B27:B29)</f>
        <v>2293.3760000000002</v>
      </c>
      <c r="L26" s="29"/>
      <c r="M26" s="29"/>
      <c r="N26" s="29"/>
      <c r="O26" s="29"/>
      <c r="Q26" s="25"/>
      <c r="R26" s="25"/>
      <c r="S26" s="25"/>
      <c r="T26" s="25"/>
      <c r="U26" s="25"/>
      <c r="V26" s="25"/>
      <c r="W26" s="25"/>
      <c r="X26" s="25"/>
      <c r="Y26" s="25"/>
      <c r="Z26" s="25"/>
      <c r="AA26" s="25"/>
      <c r="AL26" s="34" t="s">
        <v>316</v>
      </c>
      <c r="AM26">
        <v>2</v>
      </c>
    </row>
    <row r="27" spans="1:39" x14ac:dyDescent="0.3">
      <c r="A27" t="s">
        <v>255</v>
      </c>
      <c r="B27" s="25">
        <f>R23*R5*R10*((((2+((4*R8)/(R23*R10*R5^2))))^0.5)-1)</f>
        <v>4585.4778791360686</v>
      </c>
      <c r="C27" s="25"/>
      <c r="D27" s="25"/>
      <c r="E27" s="25"/>
      <c r="F27" s="25" t="s">
        <v>299</v>
      </c>
      <c r="G27" s="25">
        <f>B28*2</f>
        <v>13952.392947524633</v>
      </c>
      <c r="H27" s="25"/>
      <c r="I27" s="25"/>
      <c r="J27" s="34" t="s">
        <v>314</v>
      </c>
      <c r="K27" s="29">
        <f>MIN(G25:G27)</f>
        <v>4586.7520000000004</v>
      </c>
      <c r="L27" s="29"/>
      <c r="M27" s="29"/>
      <c r="N27" s="29"/>
      <c r="O27" s="29"/>
      <c r="Q27" s="25"/>
      <c r="R27" s="25"/>
      <c r="S27" s="25"/>
      <c r="T27" s="25"/>
      <c r="U27" s="25"/>
      <c r="V27" s="25"/>
      <c r="W27" s="25"/>
      <c r="X27" s="25"/>
      <c r="Y27" s="25"/>
      <c r="Z27" s="25"/>
      <c r="AA27" s="25"/>
    </row>
    <row r="28" spans="1:39" x14ac:dyDescent="0.3">
      <c r="A28" t="s">
        <v>256</v>
      </c>
      <c r="B28" s="25">
        <f>2.3*((R8*R23*R10)^0.5)</f>
        <v>6976.1964737623166</v>
      </c>
      <c r="C28" s="25"/>
      <c r="D28" s="25"/>
      <c r="E28" s="25"/>
      <c r="F28" s="25" t="s">
        <v>255</v>
      </c>
      <c r="G28" s="25">
        <f>0.5*R24*R6*R10*2</f>
        <v>41280.768000000004</v>
      </c>
      <c r="H28" s="25"/>
      <c r="I28" s="25"/>
      <c r="J28" s="34" t="s">
        <v>315</v>
      </c>
      <c r="K28" s="29">
        <f>MIN(G28:G29)</f>
        <v>9865.8316669740307</v>
      </c>
      <c r="L28" s="29"/>
      <c r="M28" s="29"/>
      <c r="N28" s="29"/>
      <c r="O28" s="29"/>
      <c r="Q28" s="25"/>
      <c r="R28" s="25"/>
      <c r="S28" s="25"/>
      <c r="T28" s="25"/>
      <c r="U28" s="25"/>
      <c r="V28" s="25"/>
      <c r="W28" s="25"/>
      <c r="X28" s="25"/>
      <c r="Y28" s="25"/>
      <c r="Z28" s="25"/>
      <c r="AA28" s="25"/>
      <c r="AB28" s="25"/>
      <c r="AC28" s="25"/>
      <c r="AD28" s="25"/>
      <c r="AE28" s="25"/>
      <c r="AF28" s="25"/>
    </row>
    <row r="29" spans="1:39" x14ac:dyDescent="0.3">
      <c r="A29" t="s">
        <v>257</v>
      </c>
      <c r="B29" s="25">
        <f>R23*R5*R10</f>
        <v>2293.3760000000002</v>
      </c>
      <c r="C29" s="25"/>
      <c r="D29" s="25"/>
      <c r="E29" s="25"/>
      <c r="F29" s="25" t="s">
        <v>256</v>
      </c>
      <c r="G29" s="25">
        <f>1.15*((2*R8*R24*R10)^0.5)*2</f>
        <v>9865.8316669740307</v>
      </c>
      <c r="H29" s="25"/>
      <c r="I29" s="25"/>
      <c r="J29" s="34" t="s">
        <v>316</v>
      </c>
      <c r="K29" s="29">
        <f>MIN(G30:G31)</f>
        <v>19731.663333948061</v>
      </c>
      <c r="L29" s="29"/>
      <c r="M29" s="29"/>
      <c r="N29" s="29"/>
      <c r="O29" s="29"/>
      <c r="Q29" s="25"/>
      <c r="R29" s="25"/>
      <c r="S29" s="25"/>
      <c r="T29" s="25"/>
      <c r="U29" s="25"/>
      <c r="V29" s="25"/>
      <c r="W29" s="25"/>
      <c r="X29" s="25"/>
      <c r="Y29" s="25"/>
      <c r="Z29" s="25"/>
      <c r="AA29" s="25"/>
      <c r="AB29" s="25"/>
      <c r="AC29" s="25"/>
      <c r="AD29" s="25"/>
      <c r="AE29" s="25"/>
      <c r="AF29" s="25"/>
    </row>
    <row r="30" spans="1:39" x14ac:dyDescent="0.3">
      <c r="B30" s="25"/>
      <c r="C30" s="25"/>
      <c r="D30" s="25"/>
      <c r="E30" s="25"/>
      <c r="F30" s="25" t="s">
        <v>300</v>
      </c>
      <c r="G30" s="25">
        <f>0.5*R24*R6*R10*2</f>
        <v>41280.768000000004</v>
      </c>
      <c r="H30" s="25"/>
      <c r="I30" s="25"/>
      <c r="J30" s="34"/>
      <c r="Q30" s="25"/>
      <c r="R30" s="25"/>
      <c r="S30" s="25"/>
      <c r="T30" s="25"/>
      <c r="U30" s="25"/>
      <c r="V30" s="25"/>
      <c r="W30" s="25"/>
      <c r="X30" s="25"/>
      <c r="Y30" s="25"/>
      <c r="Z30" s="25"/>
      <c r="AA30" s="25"/>
      <c r="AB30" s="25"/>
      <c r="AC30" s="25"/>
      <c r="AD30" s="25"/>
      <c r="AE30" s="25"/>
      <c r="AF30" s="25"/>
    </row>
    <row r="31" spans="1:39" x14ac:dyDescent="0.3">
      <c r="F31" s="25" t="s">
        <v>301</v>
      </c>
      <c r="G31" s="25">
        <f>2.3*((2*R8*R24*R10)^0.5)*2</f>
        <v>19731.663333948061</v>
      </c>
      <c r="R31" s="25"/>
      <c r="U31" s="25"/>
    </row>
    <row r="32" spans="1:39" x14ac:dyDescent="0.3">
      <c r="R32" s="25"/>
      <c r="U32" s="25"/>
    </row>
    <row r="33" spans="1:39" x14ac:dyDescent="0.3">
      <c r="R33" s="25"/>
      <c r="U33" s="25"/>
    </row>
    <row r="34" spans="1:39" x14ac:dyDescent="0.3">
      <c r="R34" s="25"/>
      <c r="U34" s="25"/>
    </row>
    <row r="35" spans="1:39" x14ac:dyDescent="0.3">
      <c r="R35" s="25"/>
      <c r="U35" s="25"/>
    </row>
    <row r="36" spans="1:39" x14ac:dyDescent="0.3">
      <c r="R36" s="25"/>
      <c r="U36" s="25"/>
    </row>
    <row r="37" spans="1:39" x14ac:dyDescent="0.3">
      <c r="A37" t="s">
        <v>292</v>
      </c>
      <c r="J37" s="31"/>
      <c r="R37" s="25"/>
      <c r="U37" s="25"/>
      <c r="AI37" t="s">
        <v>388</v>
      </c>
    </row>
    <row r="38" spans="1:39" x14ac:dyDescent="0.3">
      <c r="A38" t="s">
        <v>280</v>
      </c>
      <c r="J38" s="31"/>
      <c r="Q38" t="s">
        <v>294</v>
      </c>
      <c r="R38" s="25"/>
      <c r="T38" s="25" t="s">
        <v>275</v>
      </c>
      <c r="U38" s="25"/>
      <c r="V38" s="25" t="s">
        <v>278</v>
      </c>
      <c r="X38" s="25" t="s">
        <v>279</v>
      </c>
      <c r="AI38" t="s">
        <v>378</v>
      </c>
      <c r="AJ38">
        <f>MAX(0.75,AK38)</f>
        <v>0.75</v>
      </c>
      <c r="AK38">
        <f>1-(('Comprobación uniones'!C43-(15*R46))/(20*R46))</f>
        <v>-5.75</v>
      </c>
      <c r="AL38" t="s">
        <v>244</v>
      </c>
      <c r="AM38">
        <v>1</v>
      </c>
    </row>
    <row r="39" spans="1:39" x14ac:dyDescent="0.3">
      <c r="A39" t="s">
        <v>293</v>
      </c>
      <c r="J39" s="31"/>
      <c r="Q39" t="s">
        <v>261</v>
      </c>
      <c r="R39" s="25">
        <f>IF('Comprobación uniones'!$C$51="Tablero contrachapado",'Valores c. de las uniones'!U39,IF('Comprobación uniones'!$C$51="OSB",'Valores c. de las uniones'!Y39,IF('Comprobación uniones'!$C$51="Tablero de fibras duro",'Valores c. de las uniones'!W39,"")))</f>
        <v>89.347763599185896</v>
      </c>
      <c r="T39" s="25" t="s">
        <v>261</v>
      </c>
      <c r="U39" s="25">
        <f>0.11*'Comprobación uniones'!C23*('Valores c. de las uniones'!R46^(-0.3))*2</f>
        <v>89.347763599185896</v>
      </c>
      <c r="V39" s="25" t="s">
        <v>261</v>
      </c>
      <c r="W39" s="25">
        <f>30*(R46^(-0.3))*(R41^(-0.6))*2</f>
        <v>3.0749796903156219</v>
      </c>
      <c r="X39" s="25" t="s">
        <v>261</v>
      </c>
      <c r="Y39" s="25">
        <f>65*(R46^(-0.7))*(R41^(-0.1))*2</f>
        <v>50.491974631522702</v>
      </c>
      <c r="AI39" t="s">
        <v>379</v>
      </c>
      <c r="AJ39">
        <f>VLOOKUP('Comprobación uniones'!C50,'Valores c. de las uniones'!AL38:AM39,2,FALSE)</f>
        <v>2</v>
      </c>
      <c r="AL39" t="s">
        <v>251</v>
      </c>
      <c r="AM39">
        <v>2</v>
      </c>
    </row>
    <row r="40" spans="1:39" x14ac:dyDescent="0.3">
      <c r="A40" s="1" t="s">
        <v>244</v>
      </c>
      <c r="F40" s="1" t="s">
        <v>251</v>
      </c>
      <c r="J40" s="32" t="s">
        <v>244</v>
      </c>
      <c r="K40" s="30">
        <f>MIN(B41:B46)</f>
        <v>829.30502033955531</v>
      </c>
      <c r="L40" s="30"/>
      <c r="M40" s="30">
        <f>VLOOKUP('Comprobación uniones'!C50,'Valores c. de las uniones'!J40:K41,2,FALSE)</f>
        <v>1658.6100406791106</v>
      </c>
      <c r="N40" s="30">
        <f>M40*U47*'Comprobación uniones'!C45</f>
        <v>13268.880325432885</v>
      </c>
      <c r="O40" s="30"/>
      <c r="Q40" t="s">
        <v>262</v>
      </c>
      <c r="R40" s="25">
        <f>IF('Comprobación uniones'!$C$51="Tablero contrachapado",'Valores c. de las uniones'!U40,IF('Comprobación uniones'!$C$51="OSB",'Valores c. de las uniones'!Y40,IF('Comprobación uniones'!$C$51="Tablero de fibras duro",'Valores c. de las uniones'!W40,"")))</f>
        <v>89.347763599185896</v>
      </c>
      <c r="T40" s="25" t="s">
        <v>262</v>
      </c>
      <c r="U40" s="25">
        <f>0.11*'Comprobación uniones'!C23*('Valores c. de las uniones'!R46^(-0.3))*2</f>
        <v>89.347763599185896</v>
      </c>
      <c r="V40" s="25" t="s">
        <v>262</v>
      </c>
      <c r="W40" s="25">
        <f>30*(R46^(-0.3))*(R41^(-0.6))*2</f>
        <v>3.0749796903156219</v>
      </c>
      <c r="X40" s="25" t="s">
        <v>262</v>
      </c>
      <c r="Y40" s="25">
        <f>65*(R46^(-0.7))*(R41^(-0.1))*2</f>
        <v>50.491974631522702</v>
      </c>
      <c r="AI40" t="s">
        <v>380</v>
      </c>
      <c r="AJ40">
        <v>0.5</v>
      </c>
    </row>
    <row r="41" spans="1:39" x14ac:dyDescent="0.3">
      <c r="A41" t="s">
        <v>245</v>
      </c>
      <c r="B41" s="30">
        <f>R39*R41*R46</f>
        <v>17869.552719837178</v>
      </c>
      <c r="F41" s="25" t="s">
        <v>245</v>
      </c>
      <c r="G41" s="30">
        <f>R39*R41*R46*2</f>
        <v>35739.105439674357</v>
      </c>
      <c r="J41" s="33" t="s">
        <v>251</v>
      </c>
      <c r="K41" s="30">
        <f>MIN(G41:G44)</f>
        <v>1658.6100406791106</v>
      </c>
      <c r="L41" s="30"/>
      <c r="M41" s="30"/>
      <c r="N41" s="30"/>
      <c r="O41" s="30"/>
      <c r="Q41" s="25" t="s">
        <v>265</v>
      </c>
      <c r="R41" s="25">
        <f>'Comprobación uniones'!C37</f>
        <v>100</v>
      </c>
      <c r="U41" s="25"/>
      <c r="AI41" t="s">
        <v>381</v>
      </c>
      <c r="AJ41">
        <f>'Comprobación uniones'!C41</f>
        <v>800</v>
      </c>
    </row>
    <row r="42" spans="1:39" x14ac:dyDescent="0.3">
      <c r="A42" t="s">
        <v>246</v>
      </c>
      <c r="B42" s="30">
        <f>R40*R42*R46</f>
        <v>53608.658159511535</v>
      </c>
      <c r="F42" s="25" t="s">
        <v>246</v>
      </c>
      <c r="G42" s="30">
        <f>0.5*R40*R42*R46*2</f>
        <v>53608.658159511535</v>
      </c>
      <c r="J42" s="34"/>
      <c r="Q42" s="25" t="s">
        <v>266</v>
      </c>
      <c r="R42" s="25">
        <f>'Comprobación uniones'!C38</f>
        <v>300</v>
      </c>
      <c r="U42" s="25"/>
      <c r="AI42" t="s">
        <v>382</v>
      </c>
      <c r="AJ42">
        <v>1.25</v>
      </c>
    </row>
    <row r="43" spans="1:39" x14ac:dyDescent="0.3">
      <c r="A43" t="s">
        <v>247</v>
      </c>
      <c r="B43" s="30">
        <f>(B41/(1+R43))*((R43+(2*R43*R43*(1+(R42/R41)+((R42/R41)^2)))+((R43)^3)*((R42/R41)^2))^(0.5))-(R43*(1+(R42/R41)))</f>
        <v>53604.658159511535</v>
      </c>
      <c r="F43" s="25" t="s">
        <v>247</v>
      </c>
      <c r="G43" s="30">
        <f>1.05*(B41/(2+R43))*(((2*R43*(1+R43)+((4*R43*(2+R43)*R44)/(R39*R46*(R41^2))))^0.5)-R43)*2</f>
        <v>12539.225111177786</v>
      </c>
      <c r="J43" s="34"/>
      <c r="Q43" s="26" t="s">
        <v>258</v>
      </c>
      <c r="R43" s="25">
        <f>R40/R39</f>
        <v>1</v>
      </c>
      <c r="U43" s="25"/>
      <c r="AI43" t="s">
        <v>383</v>
      </c>
      <c r="AJ43" s="30">
        <f>2*3.1415*((R46/2)^2)</f>
        <v>6.2830000000000004</v>
      </c>
    </row>
    <row r="44" spans="1:39" x14ac:dyDescent="0.3">
      <c r="A44" t="s">
        <v>248</v>
      </c>
      <c r="B44" s="30">
        <f>1.05*(B41/(2+R43))*(((2*R43*(1+R43)+((4.5*R43*(2+R43)*R44)/(R39*R46*(R41^2))^0.5))-R43))</f>
        <v>110669.88097426518</v>
      </c>
      <c r="F44" s="25" t="s">
        <v>248</v>
      </c>
      <c r="G44" s="30">
        <f>1.15*(((2*R43)/(1+R43))^0.5)*((2*R44*R39*R46)^0.5)*2</f>
        <v>1658.6100406791106</v>
      </c>
      <c r="J44" s="34"/>
      <c r="Q44" s="26" t="s">
        <v>263</v>
      </c>
      <c r="R44" s="25">
        <f>240*((R46)^2.6)</f>
        <v>1455.087903849982</v>
      </c>
      <c r="U44" s="25"/>
    </row>
    <row r="45" spans="1:39" x14ac:dyDescent="0.3">
      <c r="A45" t="s">
        <v>249</v>
      </c>
      <c r="B45" s="30">
        <f>1.05*((R39*R42*R46)/(1+(2*R43)))*(((2*(R43^2)*(1+R43)+((4.5*R43*(1+2*R43)*R44)/(R39*R46*(R42^2))))^0.5)-R43)</f>
        <v>18768.759327139527</v>
      </c>
      <c r="J45" s="34"/>
      <c r="Q45" s="26" t="s">
        <v>264</v>
      </c>
      <c r="R45" s="25">
        <f>'Comprobación uniones'!C41</f>
        <v>800</v>
      </c>
      <c r="U45" s="25"/>
      <c r="AI45" t="s">
        <v>385</v>
      </c>
      <c r="AJ45" s="30">
        <f>AJ38*AJ39*AJ40*AJ41*AJ43/AJ42</f>
        <v>3015.84</v>
      </c>
    </row>
    <row r="46" spans="1:39" x14ac:dyDescent="0.3">
      <c r="A46" t="s">
        <v>250</v>
      </c>
      <c r="B46" s="30">
        <f>1.15*(((2*R43)/(1+R43))^0.5)*((2*R44*R39*R46)^0.5)</f>
        <v>829.30502033955531</v>
      </c>
      <c r="J46" s="34"/>
      <c r="Q46" s="26" t="s">
        <v>267</v>
      </c>
      <c r="R46" s="25">
        <f>'Comprobación uniones'!C40</f>
        <v>2</v>
      </c>
      <c r="T46" s="25" t="s">
        <v>359</v>
      </c>
      <c r="U46" s="25"/>
    </row>
    <row r="47" spans="1:39" x14ac:dyDescent="0.3">
      <c r="J47" s="34"/>
      <c r="Q47" s="26"/>
      <c r="R47" s="25"/>
      <c r="T47" s="25" t="s">
        <v>361</v>
      </c>
      <c r="U47" s="25">
        <f>'Comprobación uniones'!C44^W47</f>
        <v>4</v>
      </c>
      <c r="V47" s="25" t="s">
        <v>362</v>
      </c>
      <c r="W47">
        <f>IF('Comprobación uniones'!C42&gt;=14*'Comprobación uniones'!C40,1,IF(AND('Comprobación uniones'!C42&lt;14*'Comprobación uniones'!C40,'Comprobación uniones'!C42&gt;10*'Comprobación uniones'!C40),0.85,IF('Comprobación uniones'!C42&lt;10*'Comprobación uniones'!C40,0.7,0)))</f>
        <v>1</v>
      </c>
    </row>
    <row r="48" spans="1:39" x14ac:dyDescent="0.3">
      <c r="J48" s="34"/>
      <c r="R48" s="25"/>
      <c r="U48" s="25"/>
    </row>
    <row r="49" spans="1:37" x14ac:dyDescent="0.3">
      <c r="J49" s="34"/>
      <c r="R49" s="25"/>
      <c r="U49" s="25"/>
    </row>
    <row r="50" spans="1:37" x14ac:dyDescent="0.3">
      <c r="J50" s="32"/>
      <c r="R50" s="25"/>
      <c r="U50" s="25"/>
    </row>
    <row r="51" spans="1:37" x14ac:dyDescent="0.3">
      <c r="J51" s="33"/>
      <c r="R51" s="25"/>
      <c r="U51" s="25"/>
    </row>
    <row r="52" spans="1:37" x14ac:dyDescent="0.3">
      <c r="J52" s="34"/>
      <c r="R52" s="25"/>
      <c r="U52" s="25"/>
    </row>
    <row r="53" spans="1:37" x14ac:dyDescent="0.3">
      <c r="A53" t="s">
        <v>298</v>
      </c>
      <c r="J53" s="34"/>
      <c r="R53" s="25"/>
      <c r="U53" s="25"/>
      <c r="AI53" t="s">
        <v>387</v>
      </c>
    </row>
    <row r="54" spans="1:37" x14ac:dyDescent="0.3">
      <c r="A54" t="s">
        <v>280</v>
      </c>
      <c r="J54" s="34"/>
      <c r="Q54" t="s">
        <v>303</v>
      </c>
      <c r="R54" s="25"/>
      <c r="U54" s="25"/>
      <c r="AI54" t="s">
        <v>378</v>
      </c>
      <c r="AJ54">
        <f>MAX(0.75,AK54)</f>
        <v>0.75</v>
      </c>
      <c r="AK54">
        <f>1-(('Comprobación uniones'!C67-(15*R62))/(20*R62))</f>
        <v>-0.25</v>
      </c>
    </row>
    <row r="55" spans="1:37" x14ac:dyDescent="0.3">
      <c r="A55" t="s">
        <v>268</v>
      </c>
      <c r="J55" s="34"/>
      <c r="Q55" t="s">
        <v>261</v>
      </c>
      <c r="R55" s="25">
        <f>U55/(((1.35+0.015*R62)*SIN(R63*3.1415/180)^2)+(COS(R63*3.1415/180)^2))</f>
        <v>28.044</v>
      </c>
      <c r="T55" t="s">
        <v>305</v>
      </c>
      <c r="U55" s="25">
        <f>0.082*(1-(0.01*R62))*'Valores de cálculo'!C16</f>
        <v>28.044</v>
      </c>
      <c r="AB55" s="25"/>
      <c r="AI55" t="s">
        <v>379</v>
      </c>
      <c r="AJ55">
        <f>VLOOKUP('Comprobación uniones'!C79,'Valores c. de las uniones'!AL38:AM39,2,FALSE)</f>
        <v>2</v>
      </c>
    </row>
    <row r="56" spans="1:37" x14ac:dyDescent="0.3">
      <c r="A56" s="1" t="s">
        <v>244</v>
      </c>
      <c r="F56" s="1" t="s">
        <v>251</v>
      </c>
      <c r="J56" s="32" t="s">
        <v>244</v>
      </c>
      <c r="K56" s="30">
        <f>MIN(B57:B62)</f>
        <v>8418.5721492948251</v>
      </c>
      <c r="L56" s="30"/>
      <c r="M56" s="30">
        <f>VLOOKUP('Comprobación uniones'!C79,'Valores c. de las uniones'!J56:K57,2,FALSE)</f>
        <v>16837.14429858965</v>
      </c>
      <c r="N56" s="30">
        <f>M56*$U$77*'Comprobación uniones'!$C$69</f>
        <v>27828.00602372492</v>
      </c>
      <c r="O56" s="30"/>
      <c r="Q56" t="s">
        <v>262</v>
      </c>
      <c r="R56" s="25">
        <f>U55/(((1.35+0.015*R62)*SIN(R64*3.1415/180)^2)+(COS(R64*3.1415/180)^2))</f>
        <v>28.044</v>
      </c>
      <c r="U56" s="25"/>
      <c r="AC56" s="29"/>
      <c r="AI56" t="s">
        <v>380</v>
      </c>
      <c r="AJ56">
        <v>0.5</v>
      </c>
    </row>
    <row r="57" spans="1:37" x14ac:dyDescent="0.3">
      <c r="A57" t="s">
        <v>245</v>
      </c>
      <c r="B57" s="30">
        <f>R55*R57*R62</f>
        <v>28044</v>
      </c>
      <c r="F57" s="25" t="s">
        <v>245</v>
      </c>
      <c r="G57" s="30">
        <f>R55*R57*R62*2</f>
        <v>56088</v>
      </c>
      <c r="J57" s="33" t="s">
        <v>251</v>
      </c>
      <c r="K57" s="30">
        <f>MIN(G57:G60)</f>
        <v>16837.14429858965</v>
      </c>
      <c r="L57" s="30"/>
      <c r="M57" s="30"/>
      <c r="N57" s="30"/>
      <c r="O57" s="30"/>
      <c r="Q57" s="25" t="s">
        <v>265</v>
      </c>
      <c r="R57" s="25">
        <f>'Comprobación uniones'!C59</f>
        <v>100</v>
      </c>
      <c r="U57" s="25"/>
      <c r="AI57" t="s">
        <v>381</v>
      </c>
      <c r="AJ57">
        <f>'Comprobación uniones'!C64</f>
        <v>800</v>
      </c>
    </row>
    <row r="58" spans="1:37" x14ac:dyDescent="0.3">
      <c r="A58" t="s">
        <v>246</v>
      </c>
      <c r="B58" s="30">
        <f>R56*R58*R62</f>
        <v>84132</v>
      </c>
      <c r="F58" s="25" t="s">
        <v>246</v>
      </c>
      <c r="G58" s="30">
        <f>0.5*R56*R58*R62*2</f>
        <v>84132</v>
      </c>
      <c r="J58" s="34"/>
      <c r="N58" s="30"/>
      <c r="Q58" s="25" t="s">
        <v>266</v>
      </c>
      <c r="R58" s="25">
        <f>'Comprobación uniones'!C60</f>
        <v>300</v>
      </c>
      <c r="U58" s="25"/>
      <c r="AI58" t="s">
        <v>382</v>
      </c>
      <c r="AJ58">
        <v>1.25</v>
      </c>
    </row>
    <row r="59" spans="1:37" x14ac:dyDescent="0.3">
      <c r="A59" t="s">
        <v>247</v>
      </c>
      <c r="B59" s="30">
        <f>(B57/(1+R59))*((R59+(2*R59*R59*(1+(R58/R57)+((R58/R57)^2)))+((R59)^3)*((R58/R57)^2))^(0.5))-(R59*(1+(R58/R57)))</f>
        <v>84128</v>
      </c>
      <c r="F59" s="25" t="s">
        <v>247</v>
      </c>
      <c r="G59" s="30">
        <f>1.05*(B57/(2+R59))*(((2*R59*(1+R59)+((4*R59*(2+R59)*R60)/(R55*R62*(R57^2))))^0.5)-R59)*2</f>
        <v>21588.454061579334</v>
      </c>
      <c r="J59" s="34"/>
      <c r="N59" s="30"/>
      <c r="Q59" s="26" t="s">
        <v>258</v>
      </c>
      <c r="R59" s="25">
        <f>R56/U55</f>
        <v>1</v>
      </c>
      <c r="T59" s="30"/>
      <c r="U59" s="25"/>
      <c r="AI59" t="s">
        <v>383</v>
      </c>
      <c r="AJ59" s="30">
        <f>3.1415*((R62/2)^2)</f>
        <v>78.537500000000009</v>
      </c>
    </row>
    <row r="60" spans="1:37" x14ac:dyDescent="0.3">
      <c r="A60" t="s">
        <v>248</v>
      </c>
      <c r="B60" s="30">
        <f>1.05*(B57/(2+R59))*(((2*R59*(1+R59)+((4.5*R59*(2+R59)*R60)/(R55*R62*(R57^2))^0.5))-R59))</f>
        <v>7589641.8333004871</v>
      </c>
      <c r="F60" s="25" t="s">
        <v>248</v>
      </c>
      <c r="G60" s="30">
        <f>1.15*(((2*R59)/(1+R59))^0.5)*((2*R60*R55*R62)^0.5)*2</f>
        <v>16837.14429858965</v>
      </c>
      <c r="J60" s="34"/>
      <c r="N60" s="30"/>
      <c r="Q60" s="26" t="s">
        <v>263</v>
      </c>
      <c r="R60" s="25">
        <f>0.3*R61*(R62^2.6)</f>
        <v>95545.720932839424</v>
      </c>
      <c r="U60" s="25"/>
    </row>
    <row r="61" spans="1:37" x14ac:dyDescent="0.3">
      <c r="A61" t="s">
        <v>249</v>
      </c>
      <c r="B61" s="30">
        <f>1.05*((R55*R58*R62)/(1+(2*R59)))*(((2*(R59^2)*(1+R59)+((4.5*R59*(1+2*R59)*R60)/(R55*R62*(R58^2))))^0.5)-R59)</f>
        <v>29821.217251655125</v>
      </c>
      <c r="J61" s="34"/>
      <c r="N61" s="30"/>
      <c r="Q61" s="26" t="s">
        <v>264</v>
      </c>
      <c r="R61" s="25">
        <f>'Comprobación uniones'!C64</f>
        <v>800</v>
      </c>
      <c r="U61" s="25"/>
      <c r="AI61" t="s">
        <v>385</v>
      </c>
      <c r="AJ61" s="30">
        <f>AJ54*AJ55*AJ56*AJ57*AJ59/AJ58</f>
        <v>37698.000000000007</v>
      </c>
    </row>
    <row r="62" spans="1:37" x14ac:dyDescent="0.3">
      <c r="A62" t="s">
        <v>250</v>
      </c>
      <c r="B62" s="30">
        <f>1.15*(((2*R59)/(1+R59))^0.5)*((2*R60*R55*R62)^0.5)</f>
        <v>8418.5721492948251</v>
      </c>
      <c r="J62" s="34"/>
      <c r="N62" s="30"/>
      <c r="Q62" s="26" t="s">
        <v>267</v>
      </c>
      <c r="R62" s="25">
        <f>'Comprobación uniones'!C62</f>
        <v>10</v>
      </c>
      <c r="U62" s="25"/>
    </row>
    <row r="63" spans="1:37" x14ac:dyDescent="0.3">
      <c r="J63" s="34"/>
      <c r="N63" s="30"/>
      <c r="Q63" s="26" t="s">
        <v>404</v>
      </c>
      <c r="R63" s="38">
        <f>'Comprobación uniones'!E62</f>
        <v>0</v>
      </c>
      <c r="U63" s="25"/>
      <c r="V63" s="25"/>
      <c r="W63" s="25"/>
      <c r="X63" s="25"/>
    </row>
    <row r="64" spans="1:37" x14ac:dyDescent="0.3">
      <c r="J64" s="34"/>
      <c r="N64" s="30"/>
      <c r="Q64" s="26" t="s">
        <v>405</v>
      </c>
      <c r="R64" s="38">
        <f>'Comprobación uniones'!E63</f>
        <v>0</v>
      </c>
      <c r="U64" s="25"/>
      <c r="V64" s="25"/>
      <c r="W64" s="25"/>
      <c r="X64" s="25"/>
    </row>
    <row r="65" spans="1:49" x14ac:dyDescent="0.3">
      <c r="A65" t="s">
        <v>269</v>
      </c>
      <c r="B65" s="25"/>
      <c r="C65" s="25"/>
      <c r="D65" s="25"/>
      <c r="E65" s="25"/>
      <c r="F65" s="25"/>
      <c r="J65" s="34"/>
      <c r="N65" s="30"/>
      <c r="R65" s="25"/>
      <c r="U65" s="25"/>
      <c r="V65" s="25"/>
      <c r="W65" s="25"/>
      <c r="X65" s="25"/>
      <c r="AI65" t="s">
        <v>379</v>
      </c>
      <c r="AJ65">
        <f>VLOOKUP('Comprobación uniones'!F79,'Valores c. de las uniones'!AL38:AM39,2,FALSE)</f>
        <v>1</v>
      </c>
    </row>
    <row r="66" spans="1:49" x14ac:dyDescent="0.3">
      <c r="A66" s="1" t="s">
        <v>244</v>
      </c>
      <c r="B66" s="25"/>
      <c r="C66" s="25"/>
      <c r="D66" s="25"/>
      <c r="E66" s="25"/>
      <c r="F66" s="27" t="s">
        <v>251</v>
      </c>
      <c r="J66" s="32" t="s">
        <v>244</v>
      </c>
      <c r="K66" s="29">
        <f>MIN(B67:B72)</f>
        <v>9965.8784669211418</v>
      </c>
      <c r="L66" s="29"/>
      <c r="M66" s="29">
        <f>VLOOKUP('Comprobación uniones'!F79,'Valores c. de las uniones'!J66:K67,2,FALSE)</f>
        <v>9965.8784669211418</v>
      </c>
      <c r="N66" s="30">
        <f>M66*$U$77*'Comprobación uniones'!$C$69</f>
        <v>16471.35173821741</v>
      </c>
      <c r="O66" s="29"/>
      <c r="Q66" t="s">
        <v>304</v>
      </c>
      <c r="R66" s="25"/>
      <c r="T66" s="28" t="s">
        <v>275</v>
      </c>
      <c r="U66" s="25"/>
      <c r="V66" s="25" t="s">
        <v>279</v>
      </c>
      <c r="W66" s="25"/>
      <c r="X66" s="25" t="s">
        <v>318</v>
      </c>
    </row>
    <row r="67" spans="1:49" x14ac:dyDescent="0.3">
      <c r="A67" t="s">
        <v>245</v>
      </c>
      <c r="B67" s="25">
        <f>R67*R57*R62</f>
        <v>39300.154279831142</v>
      </c>
      <c r="C67" s="25"/>
      <c r="D67" s="25"/>
      <c r="E67" s="25"/>
      <c r="F67" s="25" t="s">
        <v>245</v>
      </c>
      <c r="G67" s="25">
        <f>R67*R57*R62*2</f>
        <v>78600.308559662284</v>
      </c>
      <c r="J67" s="33" t="s">
        <v>251</v>
      </c>
      <c r="K67" s="29">
        <f>MIN(G67:G70)</f>
        <v>19931.756933842284</v>
      </c>
      <c r="L67" s="29"/>
      <c r="M67" s="29"/>
      <c r="N67" s="30"/>
      <c r="O67" s="29"/>
      <c r="Q67" t="s">
        <v>261</v>
      </c>
      <c r="R67" s="25">
        <f>IF('Comprobación uniones'!$F$80="Tablero contrachapado",'Valores c. de las uniones'!U67,IF('Comprobación uniones'!$F$80="OSB",'Valores c. de las uniones'!W67,""))</f>
        <v>39.300154279831141</v>
      </c>
      <c r="T67" t="s">
        <v>261</v>
      </c>
      <c r="U67" s="25">
        <f>0.11*(1-(0.01*R62))*'Valores de cálculo'!C16</f>
        <v>37.620000000000005</v>
      </c>
      <c r="V67" s="25" t="s">
        <v>261</v>
      </c>
      <c r="W67" s="25">
        <f>50*(R62^(-0.6))*(R58^0.2)</f>
        <v>39.300154279831141</v>
      </c>
      <c r="X67" s="25" t="s">
        <v>279</v>
      </c>
      <c r="AI67" t="s">
        <v>385</v>
      </c>
      <c r="AJ67" s="30">
        <f>AJ54*AJ65*AJ56*AJ57*AJ59/AJ58</f>
        <v>18849.000000000004</v>
      </c>
    </row>
    <row r="68" spans="1:49" x14ac:dyDescent="0.3">
      <c r="A68" t="s">
        <v>246</v>
      </c>
      <c r="B68" s="25">
        <f>R68*R58*R62</f>
        <v>117900.46283949343</v>
      </c>
      <c r="C68" s="25"/>
      <c r="D68" s="25"/>
      <c r="E68" s="25"/>
      <c r="F68" s="25" t="s">
        <v>246</v>
      </c>
      <c r="G68" s="25">
        <f>0.5*R68*R58*R62*2</f>
        <v>117900.46283949343</v>
      </c>
      <c r="J68" s="34"/>
      <c r="N68" s="30"/>
      <c r="Q68" t="s">
        <v>262</v>
      </c>
      <c r="R68" s="25">
        <f>IF('Comprobación uniones'!$F$80="Tablero contrachapado",'Valores c. de las uniones'!U68,IF('Comprobación uniones'!$F$80="OSB",'Valores c. de las uniones'!W68,""))</f>
        <v>39.300154279831141</v>
      </c>
      <c r="T68" t="s">
        <v>262</v>
      </c>
      <c r="U68" s="25">
        <f>U67</f>
        <v>37.620000000000005</v>
      </c>
      <c r="V68" s="25" t="s">
        <v>262</v>
      </c>
      <c r="W68" s="25">
        <f>W67</f>
        <v>39.300154279831141</v>
      </c>
      <c r="X68" s="25"/>
    </row>
    <row r="69" spans="1:49" x14ac:dyDescent="0.3">
      <c r="A69" t="s">
        <v>247</v>
      </c>
      <c r="B69" s="25">
        <f>(B67/(1+R69))*((R69+(2*R69*R69*(1+(R58/R57)+((R58/R57)^2)))+((R69)^3)*((R58/R57)^2))^(0.5))-(R69*(1+(R58/R57)))</f>
        <v>117896.46283949343</v>
      </c>
      <c r="C69" s="25"/>
      <c r="D69" s="25"/>
      <c r="E69" s="25"/>
      <c r="F69" s="25" t="s">
        <v>247</v>
      </c>
      <c r="G69" s="25">
        <f>1.05*(B67/(2+R69))*(((2*R69*(1+R69)+((4*R69*(2+R69)*R60)/(R67*R62*(R57^2))))^0.5)-R69)*2</f>
        <v>29481.258967005571</v>
      </c>
      <c r="J69" s="34"/>
      <c r="N69" s="30"/>
      <c r="Q69" t="s">
        <v>258</v>
      </c>
      <c r="R69" s="25">
        <f>R68/R67</f>
        <v>1</v>
      </c>
      <c r="U69" s="25"/>
      <c r="V69" s="25"/>
      <c r="W69" s="25"/>
      <c r="X69" s="25"/>
    </row>
    <row r="70" spans="1:49" x14ac:dyDescent="0.3">
      <c r="A70" t="s">
        <v>248</v>
      </c>
      <c r="B70" s="25">
        <f>1.05*(B67/(2+R69))*(((2*R69*(1+R69)+((4.5*R69*(2+R69)*R60)/(R67*R62*(R57^2))^0.5))-R69))</f>
        <v>8991000.2870805282</v>
      </c>
      <c r="C70" s="25"/>
      <c r="D70" s="25"/>
      <c r="E70" s="25"/>
      <c r="F70" s="25" t="s">
        <v>248</v>
      </c>
      <c r="G70" s="25">
        <f>1.15*(((2*R69)/(1+R69))^0.5)*((2*R60*R67*R62)^0.5)*2</f>
        <v>19931.756933842284</v>
      </c>
      <c r="J70" s="34"/>
      <c r="N70" s="30"/>
      <c r="R70" s="25"/>
      <c r="U70" s="25"/>
      <c r="V70" s="25"/>
      <c r="W70" s="25"/>
      <c r="X70" s="25"/>
    </row>
    <row r="71" spans="1:49" x14ac:dyDescent="0.3">
      <c r="A71" t="s">
        <v>249</v>
      </c>
      <c r="B71" s="25">
        <f>1.05*((R67*R58*R62)/(1+(2*R69)))*(((2*(R69^2)*(1+R69)+((4.5*R69*(1+2*R69)*R60)/(R67*R62*(R58^2))))^0.5)-R69)</f>
        <v>41640.519684373845</v>
      </c>
      <c r="C71" s="25"/>
      <c r="D71" s="25"/>
      <c r="E71" s="25"/>
      <c r="F71" s="25"/>
      <c r="J71" s="34"/>
      <c r="N71" s="30"/>
      <c r="R71" s="25"/>
      <c r="U71" s="25"/>
      <c r="V71" s="25"/>
      <c r="W71" s="25"/>
      <c r="X71" s="25"/>
    </row>
    <row r="72" spans="1:49" x14ac:dyDescent="0.3">
      <c r="A72" t="s">
        <v>250</v>
      </c>
      <c r="B72" s="25">
        <f>1.15*(((2*R69)/(1+R69))^0.5)*((2*R60*R67*R62)^0.5)</f>
        <v>9965.8784669211418</v>
      </c>
      <c r="C72" s="25"/>
      <c r="D72" s="25"/>
      <c r="E72" s="25"/>
      <c r="F72" s="25"/>
      <c r="J72" s="34"/>
      <c r="N72" s="30"/>
      <c r="R72" s="25"/>
      <c r="U72" s="25"/>
      <c r="V72" s="25"/>
      <c r="W72" s="25"/>
      <c r="X72" s="25"/>
    </row>
    <row r="73" spans="1:49" x14ac:dyDescent="0.3">
      <c r="B73" s="25"/>
      <c r="C73" s="25"/>
      <c r="D73" s="25"/>
      <c r="E73" s="25"/>
      <c r="F73" s="25"/>
      <c r="J73" s="34"/>
      <c r="N73" s="30"/>
      <c r="R73" s="25"/>
      <c r="U73" s="25"/>
      <c r="V73" s="25"/>
      <c r="W73" s="25"/>
      <c r="X73" s="25"/>
    </row>
    <row r="74" spans="1:49" x14ac:dyDescent="0.3">
      <c r="B74" s="25"/>
      <c r="C74" s="25"/>
      <c r="D74" s="25"/>
      <c r="E74" s="25"/>
      <c r="F74" s="25"/>
      <c r="J74" s="34"/>
      <c r="N74" s="30"/>
      <c r="R74" s="25"/>
      <c r="U74" s="25"/>
      <c r="V74" s="25"/>
      <c r="W74" s="25"/>
      <c r="X74" s="25"/>
      <c r="AO74" t="s">
        <v>392</v>
      </c>
      <c r="AV74" s="34" t="s">
        <v>312</v>
      </c>
      <c r="AW74">
        <f>'Comprobación uniones'!$C$60</f>
        <v>300</v>
      </c>
    </row>
    <row r="75" spans="1:49" x14ac:dyDescent="0.3">
      <c r="A75" s="24" t="s">
        <v>252</v>
      </c>
      <c r="J75" s="34"/>
      <c r="N75" s="30"/>
      <c r="R75" s="25"/>
      <c r="U75" s="25"/>
      <c r="V75" s="25"/>
      <c r="W75" s="25"/>
      <c r="X75" s="25"/>
      <c r="AI75" t="s">
        <v>379</v>
      </c>
      <c r="AJ75">
        <f>VLOOKUP('Comprobación uniones'!I79,'Valores c. de las uniones'!AL22:AM26,2,FALSE)</f>
        <v>2</v>
      </c>
      <c r="AO75" t="s">
        <v>380</v>
      </c>
      <c r="AP75" s="25">
        <f>MIN(AQ75:AT75)</f>
        <v>1</v>
      </c>
      <c r="AQ75" s="30">
        <f>AP82/(3*AP85)</f>
        <v>1.3888888888888888</v>
      </c>
      <c r="AR75" s="30">
        <f>(AP81/(3*AP85))-0.25</f>
        <v>1.9722222222222223</v>
      </c>
      <c r="AS75" s="25">
        <f>'Comprobación uniones'!C64/'Comprobación uniones'!C73</f>
        <v>1.9512195121951219</v>
      </c>
      <c r="AT75">
        <v>1</v>
      </c>
      <c r="AV75" s="34" t="s">
        <v>313</v>
      </c>
      <c r="AW75">
        <f>'Comprobación uniones'!$C$60</f>
        <v>300</v>
      </c>
    </row>
    <row r="76" spans="1:49" x14ac:dyDescent="0.3">
      <c r="A76" t="s">
        <v>244</v>
      </c>
      <c r="F76" s="25" t="s">
        <v>251</v>
      </c>
      <c r="J76" s="31"/>
      <c r="N76" s="30"/>
      <c r="Q76" t="s">
        <v>306</v>
      </c>
      <c r="R76" s="25"/>
      <c r="T76" s="25" t="s">
        <v>359</v>
      </c>
      <c r="U76" s="25"/>
      <c r="V76" s="25"/>
      <c r="W76" s="25"/>
      <c r="X76" s="25"/>
      <c r="AB76" t="s">
        <v>281</v>
      </c>
      <c r="AO76" t="s">
        <v>393</v>
      </c>
      <c r="AP76" s="25">
        <f>MIN(AQ76:AS76)</f>
        <v>2.5</v>
      </c>
      <c r="AQ76" s="30">
        <f>(2.8*AP84/AP85)-1.7</f>
        <v>5.3</v>
      </c>
      <c r="AR76" s="30">
        <f>(1.4*AP83/AP85)-1.7</f>
        <v>5.3</v>
      </c>
      <c r="AS76">
        <v>2.5</v>
      </c>
      <c r="AV76" s="34" t="s">
        <v>314</v>
      </c>
      <c r="AW76">
        <f>'Comprobación uniones'!$C$60</f>
        <v>300</v>
      </c>
    </row>
    <row r="77" spans="1:49" x14ac:dyDescent="0.3">
      <c r="A77" t="s">
        <v>253</v>
      </c>
      <c r="B77" s="25">
        <f>0.4*R77*R57*R62</f>
        <v>11217.6</v>
      </c>
      <c r="F77" s="25" t="s">
        <v>253</v>
      </c>
      <c r="G77" s="25">
        <f>R77*R57*R62*2</f>
        <v>56088</v>
      </c>
      <c r="J77" s="34" t="s">
        <v>312</v>
      </c>
      <c r="K77" s="29">
        <f>MIN(B77:B78)</f>
        <v>8418.5721492948251</v>
      </c>
      <c r="L77" s="29"/>
      <c r="M77" s="29">
        <f>VLOOKUP('Comprobación uniones'!I79,'Valores c. de las uniones'!J77:K81,2,FALSE)</f>
        <v>16837.14429858965</v>
      </c>
      <c r="N77" s="30">
        <f>M77*$U$77*'Comprobación uniones'!$C$69</f>
        <v>27828.00602372492</v>
      </c>
      <c r="O77" s="29"/>
      <c r="Q77" t="s">
        <v>261</v>
      </c>
      <c r="R77" s="25">
        <f>U55</f>
        <v>28.044</v>
      </c>
      <c r="T77" s="25" t="s">
        <v>361</v>
      </c>
      <c r="U77" s="25">
        <f>MIN('Comprobación uniones'!C68,(('Comprobación uniones'!C68)^0.9)*(('Comprobación uniones'!C65/(13*'Comprobación uniones'!C62))^0.25))</f>
        <v>1.6527746944626418</v>
      </c>
      <c r="V77" s="25"/>
      <c r="W77" s="25"/>
      <c r="X77" s="25"/>
      <c r="AB77" s="25" t="s">
        <v>307</v>
      </c>
      <c r="AC77" s="25">
        <f>(3*'Valores de cálculo'!C8*3.1415*(('Comprobación uniones'!C63^2)-(('Comprobación uniones'!C62+2)^2)))/4</f>
        <v>4809.3223500000013</v>
      </c>
      <c r="AI77" t="s">
        <v>385</v>
      </c>
      <c r="AJ77" s="30">
        <f>AJ54*AJ75*AJ56*AJ57*AJ59/AJ58</f>
        <v>37698.000000000007</v>
      </c>
      <c r="AO77" t="s">
        <v>264</v>
      </c>
      <c r="AP77" s="25">
        <f>'Comprobación uniones'!C73</f>
        <v>410</v>
      </c>
      <c r="AV77" s="34" t="s">
        <v>315</v>
      </c>
      <c r="AW77">
        <f>'Comprobación uniones'!$C$59</f>
        <v>100</v>
      </c>
    </row>
    <row r="78" spans="1:49" x14ac:dyDescent="0.3">
      <c r="A78" t="s">
        <v>254</v>
      </c>
      <c r="B78" s="25">
        <f>1.15*((2*R60*R77*R62)^0.5)</f>
        <v>8418.5721492948251</v>
      </c>
      <c r="F78" s="25" t="s">
        <v>254</v>
      </c>
      <c r="G78" s="25">
        <f>B79*2</f>
        <v>23273.555715775201</v>
      </c>
      <c r="J78" s="34" t="s">
        <v>313</v>
      </c>
      <c r="K78" s="29">
        <f>MIN(B79:B81)</f>
        <v>11636.7778578876</v>
      </c>
      <c r="L78" s="29"/>
      <c r="M78" s="29"/>
      <c r="N78" s="29"/>
      <c r="O78" s="29"/>
      <c r="Q78" t="s">
        <v>262</v>
      </c>
      <c r="R78" s="25">
        <f>U55</f>
        <v>28.044</v>
      </c>
      <c r="U78" s="25"/>
      <c r="V78" s="25"/>
      <c r="W78" s="25"/>
      <c r="X78" s="25"/>
      <c r="AO78" t="s">
        <v>267</v>
      </c>
      <c r="AP78" s="25">
        <f>R62</f>
        <v>10</v>
      </c>
      <c r="AV78" s="34" t="s">
        <v>316</v>
      </c>
      <c r="AW78">
        <f>'Comprobación uniones'!$C$59</f>
        <v>100</v>
      </c>
    </row>
    <row r="79" spans="1:49" x14ac:dyDescent="0.3">
      <c r="A79" t="s">
        <v>255</v>
      </c>
      <c r="B79" s="25">
        <f>R77*R57*R62*((((2+((4*R44)/(R77*R62*R57^2))))^0.5)-1)</f>
        <v>11636.7778578876</v>
      </c>
      <c r="F79" s="25" t="s">
        <v>299</v>
      </c>
      <c r="G79" s="25">
        <f>B80*2</f>
        <v>23811.31781869832</v>
      </c>
      <c r="J79" s="34" t="s">
        <v>314</v>
      </c>
      <c r="K79" s="29">
        <f>MIN(G77:G79)</f>
        <v>23273.555715775201</v>
      </c>
      <c r="L79" s="29"/>
      <c r="M79" s="29"/>
      <c r="N79" s="29"/>
      <c r="O79" s="29"/>
      <c r="R79" s="25"/>
      <c r="U79" s="25"/>
      <c r="V79" s="25"/>
      <c r="W79" s="25"/>
      <c r="X79" s="25"/>
      <c r="AO79" t="s">
        <v>394</v>
      </c>
      <c r="AP79" s="25">
        <f>VLOOKUP('Comprobación uniones'!$I$79,'Valores c. de las uniones'!AV74:AW78,2,FALSE)</f>
        <v>100</v>
      </c>
    </row>
    <row r="80" spans="1:49" x14ac:dyDescent="0.3">
      <c r="A80" t="s">
        <v>256</v>
      </c>
      <c r="B80" s="25">
        <f>2.3*((R60*R77*R62)^0.5)</f>
        <v>11905.65890934916</v>
      </c>
      <c r="F80" s="25" t="s">
        <v>255</v>
      </c>
      <c r="G80" s="25">
        <f>0.5*R78*R58*R62*2</f>
        <v>84132</v>
      </c>
      <c r="J80" s="34" t="s">
        <v>315</v>
      </c>
      <c r="K80" s="29">
        <f>MIN(G80:G81)</f>
        <v>16837.14429858965</v>
      </c>
      <c r="L80" s="29"/>
      <c r="M80" s="29"/>
      <c r="N80" s="29"/>
      <c r="O80" s="29"/>
      <c r="R80" s="25"/>
      <c r="U80" s="25"/>
      <c r="V80" s="25"/>
      <c r="W80" s="25"/>
      <c r="X80" s="25"/>
      <c r="AO80" t="s">
        <v>382</v>
      </c>
      <c r="AP80" s="25">
        <v>1.25</v>
      </c>
    </row>
    <row r="81" spans="1:51" x14ac:dyDescent="0.3">
      <c r="A81" t="s">
        <v>257</v>
      </c>
      <c r="B81" s="25">
        <f>R77*R57*R62</f>
        <v>28044</v>
      </c>
      <c r="F81" s="25" t="s">
        <v>256</v>
      </c>
      <c r="G81" s="25">
        <f>1.15*((2*R60*R78*R62)^0.5)*2</f>
        <v>16837.14429858965</v>
      </c>
      <c r="J81" s="34" t="s">
        <v>316</v>
      </c>
      <c r="K81" s="29">
        <f>MIN(G82:G83)</f>
        <v>33674.2885971793</v>
      </c>
      <c r="L81" s="29"/>
      <c r="M81" s="29"/>
      <c r="N81" s="29"/>
      <c r="O81" s="29"/>
      <c r="R81" s="25"/>
      <c r="U81" s="25"/>
      <c r="V81" s="25"/>
      <c r="W81" s="25"/>
      <c r="X81" s="25"/>
      <c r="AO81" t="s">
        <v>398</v>
      </c>
      <c r="AP81" s="25">
        <f>'Comprobación uniones'!C65</f>
        <v>80</v>
      </c>
      <c r="AY81">
        <v>1</v>
      </c>
    </row>
    <row r="82" spans="1:51" x14ac:dyDescent="0.3">
      <c r="F82" s="25" t="s">
        <v>300</v>
      </c>
      <c r="G82" s="25">
        <f>0.5*R78*R58*R62*2</f>
        <v>84132</v>
      </c>
      <c r="R82" s="25"/>
      <c r="U82" s="25"/>
      <c r="V82" s="25"/>
      <c r="W82" s="25"/>
      <c r="X82" s="25"/>
      <c r="AO82" t="s">
        <v>397</v>
      </c>
      <c r="AP82" s="25">
        <f>'Comprobación uniones'!C74</f>
        <v>50</v>
      </c>
    </row>
    <row r="83" spans="1:51" x14ac:dyDescent="0.3">
      <c r="F83" s="25" t="s">
        <v>301</v>
      </c>
      <c r="G83" s="25">
        <f>2.3*((2*R60*R78*R62)^0.5)*2</f>
        <v>33674.2885971793</v>
      </c>
      <c r="R83" s="25"/>
      <c r="U83" s="25"/>
      <c r="V83" s="25"/>
      <c r="W83" s="25"/>
      <c r="X83" s="25"/>
      <c r="AO83" t="s">
        <v>400</v>
      </c>
      <c r="AP83" s="25">
        <f>'Comprobación uniones'!C66</f>
        <v>60</v>
      </c>
    </row>
    <row r="84" spans="1:51" x14ac:dyDescent="0.3">
      <c r="R84" s="25"/>
      <c r="U84" s="25"/>
      <c r="V84" s="25"/>
      <c r="W84" s="25"/>
      <c r="X84" s="25"/>
      <c r="AO84" t="s">
        <v>399</v>
      </c>
      <c r="AP84" s="25">
        <f>'Comprobación uniones'!C75</f>
        <v>30</v>
      </c>
    </row>
    <row r="85" spans="1:51" x14ac:dyDescent="0.3">
      <c r="R85" s="25"/>
      <c r="U85" s="25"/>
      <c r="V85" s="25"/>
      <c r="W85" s="25"/>
      <c r="X85" s="25"/>
      <c r="AO85" t="s">
        <v>401</v>
      </c>
      <c r="AP85" s="25">
        <f>AP78+2</f>
        <v>12</v>
      </c>
    </row>
    <row r="86" spans="1:51" x14ac:dyDescent="0.3">
      <c r="R86" s="25"/>
      <c r="U86" s="25"/>
      <c r="V86" s="25"/>
      <c r="W86" s="25"/>
      <c r="X86" s="25"/>
    </row>
    <row r="87" spans="1:51" x14ac:dyDescent="0.3">
      <c r="J87" s="31"/>
      <c r="R87" s="25"/>
      <c r="U87" s="25"/>
      <c r="V87" s="25"/>
      <c r="W87" s="25"/>
      <c r="X87" s="25"/>
      <c r="AO87" t="s">
        <v>395</v>
      </c>
      <c r="AP87" s="25">
        <f>AP75*AP76*AP77*AP78*AP79/AP80</f>
        <v>820000</v>
      </c>
    </row>
    <row r="88" spans="1:51" x14ac:dyDescent="0.3">
      <c r="J88" s="31"/>
      <c r="R88" s="25"/>
      <c r="U88" s="25"/>
      <c r="V88" s="25"/>
      <c r="W88" s="25"/>
      <c r="X88" s="25"/>
      <c r="AI88" t="s">
        <v>389</v>
      </c>
    </row>
    <row r="89" spans="1:51" x14ac:dyDescent="0.3">
      <c r="A89" t="s">
        <v>308</v>
      </c>
      <c r="J89" s="31"/>
      <c r="Q89" t="s">
        <v>309</v>
      </c>
      <c r="R89" s="25"/>
      <c r="U89" s="25"/>
      <c r="V89" s="25"/>
      <c r="W89" s="25"/>
      <c r="X89" s="25"/>
      <c r="AI89" t="s">
        <v>378</v>
      </c>
      <c r="AJ89">
        <f>MAX(0.75,AK89)</f>
        <v>0.75</v>
      </c>
      <c r="AK89">
        <f>1-(('Comprobación uniones'!C100-(15*R97))/(20*R97))</f>
        <v>0.34375</v>
      </c>
    </row>
    <row r="90" spans="1:51" x14ac:dyDescent="0.3">
      <c r="A90" t="s">
        <v>280</v>
      </c>
      <c r="J90" s="31"/>
      <c r="Q90" t="s">
        <v>261</v>
      </c>
      <c r="R90" s="25">
        <f>U90/(((1.35+0.015*R97)*SIN(R98*3.1415/180)^2)+(COS(R98*3.1415/180)^2))</f>
        <v>26.174399999999999</v>
      </c>
      <c r="T90" t="s">
        <v>305</v>
      </c>
      <c r="U90" s="25">
        <f>0.082*(1-(0.01*R97))*'Valores de cálculo'!C16</f>
        <v>26.174399999999999</v>
      </c>
      <c r="V90" s="25"/>
      <c r="W90" s="25"/>
      <c r="X90" s="25"/>
      <c r="AI90" t="s">
        <v>379</v>
      </c>
      <c r="AJ90">
        <f>VLOOKUP('Comprobación uniones'!C112,'Valores c. de las uniones'!AL38:AM39,2,FALSE)</f>
        <v>2</v>
      </c>
    </row>
    <row r="91" spans="1:51" x14ac:dyDescent="0.3">
      <c r="A91" t="s">
        <v>268</v>
      </c>
      <c r="J91" s="31"/>
      <c r="Q91" t="s">
        <v>262</v>
      </c>
      <c r="R91" s="25">
        <f>U90/(((1.35+0.015*R97)*SIN(R99*3.1415/180)^2)+(COS(R99*3.1415/180)^2))</f>
        <v>26.174399999999999</v>
      </c>
      <c r="U91" s="25"/>
      <c r="V91" s="25"/>
      <c r="W91" s="25"/>
      <c r="X91" s="25"/>
      <c r="AI91" t="s">
        <v>380</v>
      </c>
      <c r="AJ91">
        <v>0.5</v>
      </c>
    </row>
    <row r="92" spans="1:51" x14ac:dyDescent="0.3">
      <c r="A92" s="1" t="s">
        <v>244</v>
      </c>
      <c r="F92" s="1" t="s">
        <v>251</v>
      </c>
      <c r="J92" s="32" t="s">
        <v>244</v>
      </c>
      <c r="K92" s="30">
        <f>MIN(B93:B98)</f>
        <v>16413.584187288692</v>
      </c>
      <c r="L92" s="30"/>
      <c r="M92" s="30">
        <f>VLOOKUP('Comprobación uniones'!C112,'Valores c. de las uniones'!J92:K93,2,FALSE)</f>
        <v>32827.168374577384</v>
      </c>
      <c r="N92" s="30">
        <f>M92*$U$112*'Comprobación uniones'!$C$102</f>
        <v>89786.779272498359</v>
      </c>
      <c r="O92" s="30"/>
      <c r="Q92" s="25" t="s">
        <v>265</v>
      </c>
      <c r="R92" s="25">
        <f>'Comprobación uniones'!C92</f>
        <v>100</v>
      </c>
      <c r="U92" s="25"/>
      <c r="V92" s="25"/>
      <c r="W92" s="25"/>
      <c r="X92" s="25"/>
      <c r="AI92" t="s">
        <v>381</v>
      </c>
      <c r="AJ92">
        <f>'Comprobación uniones'!C96</f>
        <v>600</v>
      </c>
    </row>
    <row r="93" spans="1:51" x14ac:dyDescent="0.3">
      <c r="A93" t="s">
        <v>245</v>
      </c>
      <c r="B93" s="30">
        <f>R90*R92*R97</f>
        <v>41879.040000000001</v>
      </c>
      <c r="F93" s="25" t="s">
        <v>245</v>
      </c>
      <c r="G93" s="30">
        <f>R90*R92*R97*2</f>
        <v>83758.080000000002</v>
      </c>
      <c r="J93" s="33" t="s">
        <v>251</v>
      </c>
      <c r="K93" s="30">
        <f>MIN(G93:G96)</f>
        <v>32827.168374577384</v>
      </c>
      <c r="L93" s="30"/>
      <c r="M93" s="30"/>
      <c r="N93" s="30"/>
      <c r="O93" s="30"/>
      <c r="Q93" s="25" t="s">
        <v>266</v>
      </c>
      <c r="R93" s="25">
        <f>'Comprobación uniones'!C93</f>
        <v>300</v>
      </c>
      <c r="U93" s="25"/>
      <c r="V93" s="25"/>
      <c r="W93" s="25"/>
      <c r="X93" s="25"/>
      <c r="AI93" t="s">
        <v>382</v>
      </c>
      <c r="AJ93">
        <v>1.25</v>
      </c>
    </row>
    <row r="94" spans="1:51" x14ac:dyDescent="0.3">
      <c r="A94" t="s">
        <v>246</v>
      </c>
      <c r="B94" s="30">
        <f>R91*R93*R97</f>
        <v>125637.12</v>
      </c>
      <c r="F94" s="25" t="s">
        <v>246</v>
      </c>
      <c r="G94" s="30">
        <f>0.5*R91*R93*R97*2</f>
        <v>125637.12</v>
      </c>
      <c r="J94" s="34"/>
      <c r="N94" s="30"/>
      <c r="Q94" s="26" t="s">
        <v>258</v>
      </c>
      <c r="R94" s="25">
        <f>R91/R90</f>
        <v>1</v>
      </c>
      <c r="U94" s="25"/>
      <c r="V94" s="25"/>
      <c r="W94" s="25"/>
      <c r="X94" s="25"/>
      <c r="AI94" t="s">
        <v>383</v>
      </c>
      <c r="AJ94" s="30">
        <f>3.1415*((R97/2)^2)</f>
        <v>201.05600000000001</v>
      </c>
    </row>
    <row r="95" spans="1:51" x14ac:dyDescent="0.3">
      <c r="A95" t="s">
        <v>247</v>
      </c>
      <c r="B95" s="30">
        <f>(B93/(1+R94))*((R94+(2*R94*R94*(1+(R93/R92)+((R93/R92)^2)))+((R94)^3)*((R93/R92)^2))^(0.5))-(R94*(1+(R93/R92)))</f>
        <v>125633.12</v>
      </c>
      <c r="F95" s="25" t="s">
        <v>247</v>
      </c>
      <c r="G95" s="30">
        <f>1.05*(B103/(2+R94))*(((2*R94*(1+R94)+((4*R94*(2+R94)*R95)/(R90*R97*(R92^2))))^0.5)-R94)*2</f>
        <v>45901.940011316481</v>
      </c>
      <c r="J95" s="34"/>
      <c r="N95" s="30"/>
      <c r="Q95" s="26" t="s">
        <v>263</v>
      </c>
      <c r="R95" s="25">
        <f>0.3*R96*(R97^2.6)</f>
        <v>243211.69811365986</v>
      </c>
      <c r="U95" s="25"/>
      <c r="V95" s="25"/>
      <c r="W95" s="25"/>
      <c r="X95" s="25"/>
    </row>
    <row r="96" spans="1:51" x14ac:dyDescent="0.3">
      <c r="A96" t="s">
        <v>248</v>
      </c>
      <c r="B96" s="30">
        <f>1.05*(B93/(2+R94))*(((2*R94*(1+R94)+((4.5*R94*(2+R94)*R95)/(R90*R97*(R92^2))^0.5))-R94))</f>
        <v>23561119.876563612</v>
      </c>
      <c r="F96" s="25" t="s">
        <v>248</v>
      </c>
      <c r="G96" s="30">
        <f>1.15*(((2*R94)/(1+R94))^0.5)*((2*R95*R90*R97)^0.5)*2</f>
        <v>32827.168374577384</v>
      </c>
      <c r="J96" s="34"/>
      <c r="N96" s="30"/>
      <c r="Q96" s="26" t="s">
        <v>264</v>
      </c>
      <c r="R96" s="25">
        <f>'Comprobación uniones'!C96</f>
        <v>600</v>
      </c>
      <c r="U96" s="25"/>
      <c r="V96" s="25"/>
      <c r="W96" s="25"/>
      <c r="X96" s="25"/>
      <c r="AI96" t="s">
        <v>385</v>
      </c>
      <c r="AJ96" s="30">
        <f>AJ89*AJ90*AJ91*AJ92*AJ94/AJ93</f>
        <v>72380.160000000003</v>
      </c>
    </row>
    <row r="97" spans="1:49" x14ac:dyDescent="0.3">
      <c r="A97" t="s">
        <v>249</v>
      </c>
      <c r="B97" s="30">
        <f>1.05*((R90*R93*R97)/(1+(2*R94)))*(((2*(R94^2)*(1+R94)+((4.5*R94*(1+2*R94)*R95)/(R90*R97*(R93^2))))^0.5)-R94)</f>
        <v>44925.480158421975</v>
      </c>
      <c r="J97" s="34"/>
      <c r="N97" s="30"/>
      <c r="Q97" s="26" t="s">
        <v>267</v>
      </c>
      <c r="R97" s="25">
        <f>'Comprobación uniones'!C95</f>
        <v>16</v>
      </c>
      <c r="U97" s="25"/>
      <c r="V97" s="25"/>
      <c r="W97" s="25"/>
      <c r="X97" s="25"/>
    </row>
    <row r="98" spans="1:49" x14ac:dyDescent="0.3">
      <c r="A98" t="s">
        <v>250</v>
      </c>
      <c r="B98" s="30">
        <f>1.15*(((2*R94)/(1+R94))^0.5)*((2*R95*R90*R97)^0.5)</f>
        <v>16413.584187288692</v>
      </c>
      <c r="J98" s="34"/>
      <c r="N98" s="30"/>
      <c r="Q98" s="26" t="s">
        <v>404</v>
      </c>
      <c r="R98" s="38">
        <f>'Comprobación uniones'!E95</f>
        <v>0</v>
      </c>
      <c r="U98" s="25"/>
      <c r="V98" s="25"/>
      <c r="W98" s="25"/>
      <c r="X98" s="25"/>
    </row>
    <row r="99" spans="1:49" x14ac:dyDescent="0.3">
      <c r="J99" s="34"/>
      <c r="N99" s="30"/>
      <c r="Q99" s="26" t="s">
        <v>405</v>
      </c>
      <c r="R99" s="38">
        <f>'Comprobación uniones'!E96</f>
        <v>0</v>
      </c>
      <c r="U99" s="25"/>
      <c r="V99" s="25"/>
      <c r="W99" s="25"/>
      <c r="X99" s="25"/>
    </row>
    <row r="100" spans="1:49" x14ac:dyDescent="0.3">
      <c r="J100" s="34"/>
      <c r="N100" s="30"/>
      <c r="R100" s="25"/>
      <c r="U100" s="25"/>
      <c r="V100" s="25"/>
      <c r="W100" s="25"/>
      <c r="X100" s="25"/>
    </row>
    <row r="101" spans="1:49" x14ac:dyDescent="0.3">
      <c r="A101" t="s">
        <v>269</v>
      </c>
      <c r="F101" s="25"/>
      <c r="J101" s="34"/>
      <c r="N101" s="30"/>
      <c r="Q101" t="s">
        <v>310</v>
      </c>
      <c r="R101" s="25"/>
      <c r="T101" s="28" t="s">
        <v>275</v>
      </c>
      <c r="U101" s="25"/>
      <c r="V101" s="25" t="s">
        <v>279</v>
      </c>
      <c r="W101" s="25"/>
      <c r="X101" s="25"/>
      <c r="AI101" t="s">
        <v>379</v>
      </c>
      <c r="AJ101">
        <f>VLOOKUP('Comprobación uniones'!F112,'Valores c. de las uniones'!AL38:AM39,2,FALSE)</f>
        <v>1</v>
      </c>
    </row>
    <row r="102" spans="1:49" x14ac:dyDescent="0.3">
      <c r="A102" s="1" t="s">
        <v>244</v>
      </c>
      <c r="F102" s="27" t="s">
        <v>251</v>
      </c>
      <c r="J102" s="32" t="s">
        <v>244</v>
      </c>
      <c r="K102" s="30">
        <f>MIN(B103:B108)</f>
        <v>19010.469530791186</v>
      </c>
      <c r="L102" s="30"/>
      <c r="M102" s="25">
        <f>VLOOKUP('Comprobación uniones'!F112,'Valores c. de las uniones'!J102:K103,2,FALSE)</f>
        <v>19010.469530791186</v>
      </c>
      <c r="N102" s="30">
        <f>M102*$U$112*'Comprobación uniones'!$C$102</f>
        <v>51996.224960712228</v>
      </c>
      <c r="O102" s="25"/>
      <c r="Q102" t="s">
        <v>261</v>
      </c>
      <c r="R102" s="25">
        <f>IF('Comprobación uniones'!$F$113="Tablero contrachapado",'Valores c. de las uniones'!U102,IF('Comprobación uniones'!$F$113="OSB",'Valores c. de las uniones'!W102,""))</f>
        <v>35.112000000000002</v>
      </c>
      <c r="T102" t="s">
        <v>261</v>
      </c>
      <c r="U102" s="25">
        <f>0.11*(1-(0.01*R97))*'Valores de cálculo'!C16</f>
        <v>35.112000000000002</v>
      </c>
      <c r="V102" s="25" t="s">
        <v>261</v>
      </c>
      <c r="W102" s="25">
        <f>50*(R97^(-0.6))*(R93^0.2)</f>
        <v>29.643007622241402</v>
      </c>
      <c r="X102" s="25"/>
    </row>
    <row r="103" spans="1:49" x14ac:dyDescent="0.3">
      <c r="A103" t="s">
        <v>245</v>
      </c>
      <c r="B103" s="30">
        <f>R102*R92*R97</f>
        <v>56179.200000000004</v>
      </c>
      <c r="F103" s="25" t="s">
        <v>245</v>
      </c>
      <c r="G103" s="30">
        <f>R102*R92*R97*2</f>
        <v>112358.40000000001</v>
      </c>
      <c r="J103" s="33" t="s">
        <v>251</v>
      </c>
      <c r="K103" s="30">
        <f>MIN(G103:G106)</f>
        <v>38020.939061582372</v>
      </c>
      <c r="L103" s="30"/>
      <c r="M103" s="30"/>
      <c r="N103" s="30"/>
      <c r="O103" s="30"/>
      <c r="Q103" t="s">
        <v>262</v>
      </c>
      <c r="R103" s="25">
        <f>IF('Comprobación uniones'!$F$113="Tablero contrachapado",'Valores c. de las uniones'!U103,IF('Comprobación uniones'!$F$113="OSB",'Valores c. de las uniones'!W103,""))</f>
        <v>35.112000000000002</v>
      </c>
      <c r="T103" t="s">
        <v>262</v>
      </c>
      <c r="U103" s="25">
        <f>0.11*(1-(0.01*R97))*'Valores de cálculo'!C16</f>
        <v>35.112000000000002</v>
      </c>
      <c r="V103" s="25" t="s">
        <v>262</v>
      </c>
      <c r="W103" s="25">
        <f>50*(R97^(-0.6))*(R93^0.2)</f>
        <v>29.643007622241402</v>
      </c>
      <c r="X103" s="25"/>
      <c r="AI103" t="s">
        <v>385</v>
      </c>
      <c r="AJ103" s="30">
        <f>AJ89*AJ101*AJ91*AJ92*AJ94/AJ93</f>
        <v>36190.080000000002</v>
      </c>
    </row>
    <row r="104" spans="1:49" x14ac:dyDescent="0.3">
      <c r="A104" t="s">
        <v>246</v>
      </c>
      <c r="B104" s="30">
        <f>R103*R93*R97</f>
        <v>168537.60000000001</v>
      </c>
      <c r="F104" s="25" t="s">
        <v>246</v>
      </c>
      <c r="G104" s="30">
        <f>0.5*R103*R93*R97*2</f>
        <v>168537.60000000001</v>
      </c>
      <c r="J104" s="34"/>
      <c r="N104" s="30"/>
      <c r="Q104" s="26" t="s">
        <v>258</v>
      </c>
      <c r="R104" s="25">
        <f>R103/R102</f>
        <v>1</v>
      </c>
      <c r="U104" s="25"/>
      <c r="V104" s="25"/>
      <c r="W104" s="25"/>
      <c r="X104" s="25"/>
    </row>
    <row r="105" spans="1:49" x14ac:dyDescent="0.3">
      <c r="A105" t="s">
        <v>247</v>
      </c>
      <c r="B105" s="30">
        <f>(B103/(1+R104))*((R104+(2*R104*R104*(1+(R93/R92)+((R93/R92)^2)))+((R104)^3)*((R93/R92)^2))^(0.5))-(R104*(1+(R93/R92)))</f>
        <v>168533.6</v>
      </c>
      <c r="F105" s="25" t="s">
        <v>247</v>
      </c>
      <c r="G105" s="30">
        <f>1.05*(B103/(2+R104))*(((2*R104*(1+R104)+((4*R104*(2+R104)*R95)/(R102*R97*(R92^2))))^0.5)-R104)*2</f>
        <v>44277.018793133684</v>
      </c>
      <c r="J105" s="34"/>
      <c r="N105" s="30"/>
      <c r="R105" s="25"/>
      <c r="U105" s="25"/>
      <c r="V105" s="25"/>
      <c r="W105" s="25"/>
      <c r="X105" s="25"/>
    </row>
    <row r="106" spans="1:49" x14ac:dyDescent="0.3">
      <c r="A106" t="s">
        <v>248</v>
      </c>
      <c r="B106" s="30">
        <f>1.05*(B103/(2+R104))*(((2*R104*(1+R104)+((4.5*R104*(2+R104)*R95)/(R102*R97*(R92^2))^0.5))-R104))</f>
        <v>27296914.940572824</v>
      </c>
      <c r="F106" s="25" t="s">
        <v>248</v>
      </c>
      <c r="G106" s="30">
        <f>1.15*(((2*R104)/(1+R104))^0.5)*((2*R95*R102*R97)^0.5)*2</f>
        <v>38020.939061582372</v>
      </c>
      <c r="J106" s="34"/>
      <c r="N106" s="30"/>
      <c r="R106" s="25"/>
      <c r="U106" s="25"/>
      <c r="V106" s="25"/>
      <c r="W106" s="25"/>
      <c r="X106" s="25"/>
    </row>
    <row r="107" spans="1:49" x14ac:dyDescent="0.3">
      <c r="A107" t="s">
        <v>249</v>
      </c>
      <c r="B107" s="30">
        <f>1.05*((R102*R93*R97)/(1+(2*R104)))*(((2*(R104^2)*(1+R104)+((4.5*R104*(1+2*R104)*R95)/(R102*R97*(R93^2))))^0.5)-R104)</f>
        <v>59941.950556986587</v>
      </c>
      <c r="F107" s="25"/>
      <c r="J107" s="34"/>
      <c r="N107" s="30"/>
      <c r="R107" s="25"/>
      <c r="U107" s="25"/>
      <c r="V107" s="25"/>
      <c r="W107" s="25"/>
      <c r="X107" s="25"/>
    </row>
    <row r="108" spans="1:49" x14ac:dyDescent="0.3">
      <c r="A108" t="s">
        <v>250</v>
      </c>
      <c r="B108" s="30">
        <f>1.15*(((2*R104)/(1+R104))^0.5)*((2*R95*R102*R97)^0.5)</f>
        <v>19010.469530791186</v>
      </c>
      <c r="F108" s="25"/>
      <c r="J108" s="34"/>
      <c r="N108" s="30"/>
      <c r="R108" s="25"/>
      <c r="U108" s="25"/>
    </row>
    <row r="109" spans="1:49" x14ac:dyDescent="0.3">
      <c r="F109" s="25"/>
      <c r="J109" s="34"/>
      <c r="N109" s="30"/>
      <c r="R109" s="25"/>
      <c r="U109" s="25"/>
      <c r="AO109" t="s">
        <v>402</v>
      </c>
    </row>
    <row r="110" spans="1:49" x14ac:dyDescent="0.3">
      <c r="F110" s="25"/>
      <c r="J110" s="34"/>
      <c r="N110" s="30"/>
      <c r="R110" s="25"/>
      <c r="U110" s="25"/>
      <c r="AI110" t="s">
        <v>379</v>
      </c>
      <c r="AJ110">
        <f>VLOOKUP('Comprobación uniones'!I112,'Valores c. de las uniones'!AL22:AM26,2,FALSE)</f>
        <v>2</v>
      </c>
      <c r="AO110" t="s">
        <v>380</v>
      </c>
      <c r="AP110" s="25">
        <f>MIN(AQ110:AT110)</f>
        <v>0.86111111111111116</v>
      </c>
      <c r="AQ110" s="25">
        <f>AP117/(3*AP120)</f>
        <v>0.92592592592592593</v>
      </c>
      <c r="AR110" s="25">
        <f>(AP116/(3*AP120))-0.25</f>
        <v>0.86111111111111116</v>
      </c>
      <c r="AS110" s="25">
        <f>'Comprobación uniones'!C96/'Comprobación uniones'!C106</f>
        <v>1.4634146341463414</v>
      </c>
      <c r="AT110">
        <v>1</v>
      </c>
      <c r="AV110" s="34" t="s">
        <v>312</v>
      </c>
      <c r="AW110">
        <f>'Comprobación uniones'!$C$93</f>
        <v>300</v>
      </c>
    </row>
    <row r="111" spans="1:49" x14ac:dyDescent="0.3">
      <c r="A111" s="24" t="s">
        <v>252</v>
      </c>
      <c r="J111" s="34"/>
      <c r="N111" s="30"/>
      <c r="Q111" t="s">
        <v>311</v>
      </c>
      <c r="R111" s="25"/>
      <c r="T111" s="25" t="s">
        <v>359</v>
      </c>
      <c r="U111" s="25"/>
      <c r="AB111" t="s">
        <v>281</v>
      </c>
      <c r="AO111" t="s">
        <v>393</v>
      </c>
      <c r="AP111" s="25">
        <f>MIN(AQ111:AS111)</f>
        <v>2.1888888888888891</v>
      </c>
      <c r="AQ111" s="25">
        <f>(2.8*AP119/AP120)-1.7</f>
        <v>6.0777777777777775</v>
      </c>
      <c r="AR111" s="25">
        <f>(1.4*AP118/AP120)-1.7</f>
        <v>2.1888888888888891</v>
      </c>
      <c r="AS111" s="25">
        <v>2.5</v>
      </c>
      <c r="AV111" s="34" t="s">
        <v>313</v>
      </c>
      <c r="AW111">
        <f>'Comprobación uniones'!$C$93</f>
        <v>300</v>
      </c>
    </row>
    <row r="112" spans="1:49" x14ac:dyDescent="0.3">
      <c r="A112" t="s">
        <v>244</v>
      </c>
      <c r="F112" s="25" t="s">
        <v>251</v>
      </c>
      <c r="J112" s="34" t="s">
        <v>312</v>
      </c>
      <c r="K112" s="30">
        <f>MIN(B113:B114)</f>
        <v>16413.584187288692</v>
      </c>
      <c r="L112" s="30"/>
      <c r="M112" s="30">
        <f>VLOOKUP('Comprobación uniones'!I112,'Valores c. de las uniones'!J112:K116,2,FALSE)</f>
        <v>32827.168374577384</v>
      </c>
      <c r="N112" s="30">
        <f>M112*$U$112*'Comprobación uniones'!$C$102</f>
        <v>89786.779272498359</v>
      </c>
      <c r="O112" s="30"/>
      <c r="Q112" t="s">
        <v>261</v>
      </c>
      <c r="R112" s="25">
        <f>U90</f>
        <v>26.174399999999999</v>
      </c>
      <c r="T112" s="25" t="s">
        <v>363</v>
      </c>
      <c r="U112" s="25">
        <f>MIN('Comprobación uniones'!C101,('Comprobación uniones'!C101^0.9)*(('Comprobación uniones'!C98/(13*'Comprobación uniones'!C95))^0.25))</f>
        <v>1.367568141241702</v>
      </c>
      <c r="AB112" s="25" t="s">
        <v>307</v>
      </c>
      <c r="AI112" t="s">
        <v>385</v>
      </c>
      <c r="AJ112" s="30">
        <f>AJ89*AJ110*AJ91*AJ92*AJ94/AJ93</f>
        <v>72380.160000000003</v>
      </c>
      <c r="AO112" t="s">
        <v>264</v>
      </c>
      <c r="AP112" s="25">
        <f>'Comprobación uniones'!C106</f>
        <v>410</v>
      </c>
      <c r="AV112" s="34" t="s">
        <v>314</v>
      </c>
      <c r="AW112">
        <f>'Comprobación uniones'!$C$93</f>
        <v>300</v>
      </c>
    </row>
    <row r="113" spans="1:49" x14ac:dyDescent="0.3">
      <c r="A113" t="s">
        <v>253</v>
      </c>
      <c r="B113" s="30">
        <f>0.4*R112*R92*R97</f>
        <v>16751.616000000002</v>
      </c>
      <c r="F113" s="25" t="s">
        <v>253</v>
      </c>
      <c r="G113" s="30">
        <f>R112*R92*R97*2</f>
        <v>83758.080000000002</v>
      </c>
      <c r="J113" s="34" t="s">
        <v>313</v>
      </c>
      <c r="K113" s="30">
        <f>MIN(B115:B117)</f>
        <v>20691.934740641489</v>
      </c>
      <c r="L113" s="30"/>
      <c r="M113" s="30"/>
      <c r="N113" s="30"/>
      <c r="O113" s="30"/>
      <c r="Q113" t="s">
        <v>262</v>
      </c>
      <c r="R113" s="25">
        <f>U90</f>
        <v>26.174399999999999</v>
      </c>
      <c r="T113" s="25" t="s">
        <v>364</v>
      </c>
      <c r="U113" s="25">
        <f>('Comprobación uniones'!C101*'Comprobación uniones'!C102)^0.9</f>
        <v>3.4822022531844965</v>
      </c>
      <c r="AB113" t="s">
        <v>365</v>
      </c>
      <c r="AC113" s="25">
        <f>(U113*AF113*'Comprobación uniones'!C95*'Comprobación uniones'!C97*'Valores c. de las uniones'!U115)/(1.2)</f>
        <v>27854.738377277434</v>
      </c>
      <c r="AE113" s="25" t="s">
        <v>283</v>
      </c>
      <c r="AF113" s="25">
        <f>0.52*('Comprobación uniones'!C95^(-0.5))*('Comprobación uniones'!C97^(-0.1))*('Valores de cálculo'!C16^0.8)</f>
        <v>9.9989662977660512</v>
      </c>
      <c r="AO113" t="s">
        <v>267</v>
      </c>
      <c r="AP113" s="25">
        <f>'Comprobación uniones'!C95</f>
        <v>16</v>
      </c>
      <c r="AV113" s="34" t="s">
        <v>315</v>
      </c>
      <c r="AW113">
        <f>'Comprobación uniones'!$C$92</f>
        <v>100</v>
      </c>
    </row>
    <row r="114" spans="1:49" x14ac:dyDescent="0.3">
      <c r="A114" t="s">
        <v>254</v>
      </c>
      <c r="B114" s="30">
        <f>1.15*((2*R95*R112*R97)^0.5)</f>
        <v>16413.584187288692</v>
      </c>
      <c r="F114" s="25" t="s">
        <v>254</v>
      </c>
      <c r="G114" s="30">
        <f>B115*2</f>
        <v>41383.869481282978</v>
      </c>
      <c r="J114" s="34" t="s">
        <v>314</v>
      </c>
      <c r="K114" s="30">
        <f>MIN(G113:G115)</f>
        <v>41383.869481282978</v>
      </c>
      <c r="L114" s="30"/>
      <c r="M114" s="30"/>
      <c r="N114" s="30"/>
      <c r="O114" s="30"/>
      <c r="R114" s="25"/>
      <c r="U114" s="25"/>
      <c r="AB114" t="s">
        <v>366</v>
      </c>
      <c r="AC114" s="25">
        <f>U113*AF114*('Comprobación uniones'!C95^2)</f>
        <v>9010.7136960483549</v>
      </c>
      <c r="AE114" s="25" t="s">
        <v>284</v>
      </c>
      <c r="AF114">
        <f>70*(10^(-6))*('Valores de cálculo'!C16^2)</f>
        <v>10.107999999999999</v>
      </c>
      <c r="AO114" t="s">
        <v>394</v>
      </c>
      <c r="AP114" s="25">
        <f>VLOOKUP('Comprobación uniones'!I112,'Valores c. de las uniones'!AV110:AW114,2,FALSE)</f>
        <v>100</v>
      </c>
      <c r="AV114" s="34" t="s">
        <v>316</v>
      </c>
      <c r="AW114">
        <f>'Comprobación uniones'!$C$92</f>
        <v>100</v>
      </c>
    </row>
    <row r="115" spans="1:49" x14ac:dyDescent="0.3">
      <c r="A115" t="s">
        <v>255</v>
      </c>
      <c r="B115" s="30">
        <f>R112*R92*R97*((((2+((4*R95)/(R112*R97*R92^2))))^0.5)-1)</f>
        <v>20691.934740641489</v>
      </c>
      <c r="F115" s="25" t="s">
        <v>299</v>
      </c>
      <c r="G115" s="30">
        <f>B116*2</f>
        <v>46424.626729632488</v>
      </c>
      <c r="J115" s="34" t="s">
        <v>315</v>
      </c>
      <c r="K115" s="30">
        <f>MIN(G116:G117)</f>
        <v>32827.168374577384</v>
      </c>
      <c r="L115" s="30"/>
      <c r="M115" s="30"/>
      <c r="N115" s="30"/>
      <c r="O115" s="30"/>
      <c r="R115" s="25"/>
      <c r="T115" s="25" t="s">
        <v>367</v>
      </c>
      <c r="U115" s="25">
        <f>MIN(('Comprobación uniones'!C95/8),1)</f>
        <v>1</v>
      </c>
      <c r="AO115" t="s">
        <v>382</v>
      </c>
      <c r="AP115" s="25">
        <v>1.25</v>
      </c>
    </row>
    <row r="116" spans="1:49" x14ac:dyDescent="0.3">
      <c r="A116" t="s">
        <v>256</v>
      </c>
      <c r="B116" s="30">
        <f>2.3*((R95*R112*R97)^0.5)</f>
        <v>23212.313364816244</v>
      </c>
      <c r="F116" s="25" t="s">
        <v>255</v>
      </c>
      <c r="G116" s="30">
        <f>0.5*R113*R93*R97*2</f>
        <v>125637.12</v>
      </c>
      <c r="J116" s="34" t="s">
        <v>316</v>
      </c>
      <c r="K116" s="30">
        <f>MIN(G118:G119)</f>
        <v>65654.336749154769</v>
      </c>
      <c r="L116" s="30"/>
      <c r="M116" s="30"/>
      <c r="N116" s="30"/>
      <c r="O116" s="30"/>
      <c r="R116" s="25"/>
      <c r="U116" s="25"/>
      <c r="AO116" t="s">
        <v>398</v>
      </c>
      <c r="AP116" s="25">
        <f>'Comprobación uniones'!C98</f>
        <v>60</v>
      </c>
    </row>
    <row r="117" spans="1:49" x14ac:dyDescent="0.3">
      <c r="A117" t="s">
        <v>257</v>
      </c>
      <c r="B117" s="30">
        <f>R112*R92*R97</f>
        <v>41879.040000000001</v>
      </c>
      <c r="F117" s="25" t="s">
        <v>256</v>
      </c>
      <c r="G117" s="30">
        <f>1.15*((2*R95*R113*R97)^0.5)*2</f>
        <v>32827.168374577384</v>
      </c>
      <c r="J117" s="31"/>
      <c r="U117" s="25"/>
      <c r="AO117" t="s">
        <v>397</v>
      </c>
      <c r="AP117" s="25">
        <f>'Comprobación uniones'!C107</f>
        <v>50</v>
      </c>
    </row>
    <row r="118" spans="1:49" x14ac:dyDescent="0.3">
      <c r="F118" s="25" t="s">
        <v>300</v>
      </c>
      <c r="G118" s="30">
        <f>0.5*R113*R93*R97*2</f>
        <v>125637.12</v>
      </c>
      <c r="J118" s="31"/>
      <c r="U118" s="25"/>
      <c r="AO118" t="s">
        <v>400</v>
      </c>
      <c r="AP118" s="25">
        <f>'Comprobación uniones'!C99</f>
        <v>50</v>
      </c>
    </row>
    <row r="119" spans="1:49" x14ac:dyDescent="0.3">
      <c r="F119" s="25" t="s">
        <v>301</v>
      </c>
      <c r="G119" s="30">
        <f>2.3*((2*R95*R113*R97)^0.5)*2</f>
        <v>65654.336749154769</v>
      </c>
      <c r="J119" s="31"/>
      <c r="U119" s="25"/>
      <c r="AO119" t="s">
        <v>399</v>
      </c>
      <c r="AP119" s="25">
        <f>'Comprobación uniones'!C108</f>
        <v>50</v>
      </c>
    </row>
    <row r="120" spans="1:49" x14ac:dyDescent="0.3">
      <c r="U120" s="25"/>
      <c r="AO120" t="s">
        <v>401</v>
      </c>
      <c r="AP120" s="25">
        <f>AP113+2</f>
        <v>18</v>
      </c>
    </row>
    <row r="121" spans="1:49" x14ac:dyDescent="0.3">
      <c r="U121" s="25"/>
    </row>
    <row r="122" spans="1:49" x14ac:dyDescent="0.3">
      <c r="U122" s="25"/>
      <c r="AO122" t="s">
        <v>395</v>
      </c>
      <c r="AP122" s="25">
        <f>AP110*AP111*AP112*AP113*AP114/AP115</f>
        <v>989183.20987654349</v>
      </c>
    </row>
    <row r="123" spans="1:49" x14ac:dyDescent="0.3">
      <c r="U123" s="25"/>
    </row>
    <row r="124" spans="1:49" x14ac:dyDescent="0.3">
      <c r="U124" s="25"/>
    </row>
    <row r="125" spans="1:49" x14ac:dyDescent="0.3">
      <c r="A125" t="s">
        <v>321</v>
      </c>
      <c r="U125" s="25"/>
      <c r="AI125" t="s">
        <v>390</v>
      </c>
    </row>
    <row r="126" spans="1:49" x14ac:dyDescent="0.3">
      <c r="A126" t="s">
        <v>280</v>
      </c>
      <c r="Q126" t="s">
        <v>322</v>
      </c>
      <c r="U126" s="25"/>
      <c r="AI126" t="s">
        <v>378</v>
      </c>
      <c r="AJ126">
        <f>MAX(0.75,AK126)</f>
        <v>0.88461538461538458</v>
      </c>
      <c r="AK126">
        <f>1-(('Comprobación uniones'!C132-(15*R134))/(20*R134))</f>
        <v>0.88461538461538458</v>
      </c>
    </row>
    <row r="127" spans="1:49" x14ac:dyDescent="0.3">
      <c r="A127" t="s">
        <v>268</v>
      </c>
      <c r="Q127" t="s">
        <v>261</v>
      </c>
      <c r="R127" s="25">
        <f>U127/(((1.35+0.015*R134)*SIN(R135*3.1415/180)^2)+(COS(R135*3.1415/180)^2))</f>
        <v>23.058400000000002</v>
      </c>
      <c r="T127" t="s">
        <v>305</v>
      </c>
      <c r="U127" s="25">
        <f>0.082*(1-(0.01*R134))*'Valores de cálculo'!C16</f>
        <v>23.058400000000002</v>
      </c>
      <c r="AI127" t="s">
        <v>379</v>
      </c>
      <c r="AJ127">
        <f>VLOOKUP('Comprobación uniones'!C144,'Valores c. de las uniones'!AL38:AM39,2,FALSE)</f>
        <v>2</v>
      </c>
    </row>
    <row r="128" spans="1:49" x14ac:dyDescent="0.3">
      <c r="A128" s="1" t="s">
        <v>244</v>
      </c>
      <c r="F128" s="1" t="s">
        <v>251</v>
      </c>
      <c r="J128" s="32" t="s">
        <v>244</v>
      </c>
      <c r="K128" s="30">
        <f>MIN(B129:B134)</f>
        <v>28595.080707093846</v>
      </c>
      <c r="L128" s="30"/>
      <c r="M128" s="30">
        <f>VLOOKUP('Comprobación uniones'!C144,'Valores c. de las uniones'!J128:K129,2,FALSE)</f>
        <v>43215.901782112283</v>
      </c>
      <c r="N128" s="30">
        <f>M128*$U$149*'Comprobación uniones'!$C$134</f>
        <v>129390.80220040747</v>
      </c>
      <c r="O128" s="30"/>
      <c r="Q128" t="s">
        <v>262</v>
      </c>
      <c r="R128" s="25">
        <f>U127/(((1.35+0.015*R134)*SIN(R136*3.1415/180)^2)+(COS(R136*3.1415/180)^2))</f>
        <v>23.058400000000002</v>
      </c>
      <c r="U128" s="25"/>
      <c r="AI128" t="s">
        <v>380</v>
      </c>
      <c r="AJ128">
        <v>0.5</v>
      </c>
    </row>
    <row r="129" spans="1:36" x14ac:dyDescent="0.3">
      <c r="A129" t="s">
        <v>245</v>
      </c>
      <c r="B129" s="30">
        <f>R127*R129*R134</f>
        <v>41966.288000000008</v>
      </c>
      <c r="F129" s="25" t="s">
        <v>245</v>
      </c>
      <c r="G129" s="30">
        <f>R127*R129*R134*2</f>
        <v>83932.576000000015</v>
      </c>
      <c r="J129" s="33" t="s">
        <v>251</v>
      </c>
      <c r="K129" s="30">
        <f>MIN(G129:G132)</f>
        <v>43215.901782112283</v>
      </c>
      <c r="L129" s="30"/>
      <c r="M129" s="30"/>
      <c r="N129" s="30"/>
      <c r="O129" s="30"/>
      <c r="Q129" s="25" t="s">
        <v>265</v>
      </c>
      <c r="R129" s="25">
        <f>'Comprobación uniones'!C125</f>
        <v>70</v>
      </c>
      <c r="U129" s="25"/>
      <c r="AI129" t="s">
        <v>381</v>
      </c>
      <c r="AJ129">
        <f>'Comprobación uniones'!C129</f>
        <v>360</v>
      </c>
    </row>
    <row r="130" spans="1:36" x14ac:dyDescent="0.3">
      <c r="A130" t="s">
        <v>246</v>
      </c>
      <c r="B130" s="30">
        <f>R128*R130*R134</f>
        <v>119903.68000000001</v>
      </c>
      <c r="F130" s="25" t="s">
        <v>246</v>
      </c>
      <c r="G130" s="30">
        <f>0.5*R128*R130*R134*2</f>
        <v>119903.68000000001</v>
      </c>
      <c r="J130" s="34"/>
      <c r="N130" s="30"/>
      <c r="Q130" s="25" t="s">
        <v>266</v>
      </c>
      <c r="R130" s="25">
        <f>'Comprobación uniones'!C126</f>
        <v>200</v>
      </c>
      <c r="U130" s="25"/>
      <c r="AI130" t="s">
        <v>382</v>
      </c>
      <c r="AJ130">
        <v>1.25</v>
      </c>
    </row>
    <row r="131" spans="1:36" x14ac:dyDescent="0.3">
      <c r="A131" t="s">
        <v>247</v>
      </c>
      <c r="B131" s="30">
        <f>(B129/(1+R131))*((R131+(2*R131*R131*(1+(R130/R129)+((R130/R129)^2)))+((R131)^3)*((R130/R129)^2))^(0.5))-(R131*(1+(R130/R129)))</f>
        <v>120907.27773768615</v>
      </c>
      <c r="F131" s="25" t="s">
        <v>247</v>
      </c>
      <c r="G131" s="30">
        <f>1.05*(B129/(2+R131))*(((2*R131*(1+R131)+((4*R131*(2+R131)*R132)/(R127*R134*(R129^2))))^0.5)-R131)*2</f>
        <v>43215.901782112283</v>
      </c>
      <c r="J131" s="34"/>
      <c r="N131" s="30"/>
      <c r="Q131" s="26" t="s">
        <v>258</v>
      </c>
      <c r="R131" s="25">
        <f>R128/R127</f>
        <v>1</v>
      </c>
      <c r="U131" s="25"/>
      <c r="AI131" t="s">
        <v>383</v>
      </c>
      <c r="AJ131" s="30">
        <f>3.1415*((R134/2)^2)</f>
        <v>530.9135</v>
      </c>
    </row>
    <row r="132" spans="1:36" x14ac:dyDescent="0.3">
      <c r="A132" t="s">
        <v>248</v>
      </c>
      <c r="B132" s="30">
        <f>1.05*(B129/(2+R131))*(((2*R131*(1+R131)+((4.5*R131*(2+R131)*R132)/(R127*R134*(R129^2))^0.5))-R131))</f>
        <v>59700531.820480518</v>
      </c>
      <c r="F132" s="25" t="s">
        <v>248</v>
      </c>
      <c r="G132" s="30">
        <f>1.15*(((2*R131)/(1+R131))^0.5)*((2*R132*R127*R134)^0.5)*2</f>
        <v>57190.161414187693</v>
      </c>
      <c r="J132" s="34"/>
      <c r="N132" s="30"/>
      <c r="Q132" s="26" t="s">
        <v>263</v>
      </c>
      <c r="R132" s="25">
        <f>0.3*R133*(R134^2.6)</f>
        <v>515649.33287095156</v>
      </c>
      <c r="U132" s="25"/>
    </row>
    <row r="133" spans="1:36" x14ac:dyDescent="0.3">
      <c r="A133" t="s">
        <v>249</v>
      </c>
      <c r="B133" s="30">
        <f>1.05*((R127*R130*R134)/(1+(2*R131)))*(((2*(R131^2)*(1+R131)+((4.5*R131*(1+2*R131)*R132)/(R127*R134*(R130^2))))^0.5)-R131)</f>
        <v>44958.505227757567</v>
      </c>
      <c r="J133" s="34"/>
      <c r="N133" s="30"/>
      <c r="Q133" s="26" t="s">
        <v>264</v>
      </c>
      <c r="R133" s="25">
        <f>'Comprobación uniones'!C129</f>
        <v>360</v>
      </c>
      <c r="U133" s="25"/>
      <c r="AI133" t="s">
        <v>385</v>
      </c>
      <c r="AJ133" s="30">
        <f>AJ126*AJ127*AJ128*AJ129*AJ131/AJ130</f>
        <v>135260.424</v>
      </c>
    </row>
    <row r="134" spans="1:36" x14ac:dyDescent="0.3">
      <c r="A134" t="s">
        <v>250</v>
      </c>
      <c r="B134" s="30">
        <f>1.15*(((2*R131)/(1+R131))^0.5)*((2*R132*R127*R134)^0.5)</f>
        <v>28595.080707093846</v>
      </c>
      <c r="J134" s="34"/>
      <c r="M134" s="37"/>
      <c r="N134" s="30"/>
      <c r="O134" s="37"/>
      <c r="Q134" s="26" t="s">
        <v>267</v>
      </c>
      <c r="R134" s="25">
        <f>'Comprobación uniones'!C128</f>
        <v>26</v>
      </c>
      <c r="U134" s="25"/>
    </row>
    <row r="135" spans="1:36" x14ac:dyDescent="0.3">
      <c r="J135" s="34"/>
      <c r="N135" s="30"/>
      <c r="Q135" s="26" t="s">
        <v>404</v>
      </c>
      <c r="R135" s="38">
        <f>'Comprobación uniones'!E128</f>
        <v>0</v>
      </c>
      <c r="U135" s="25"/>
    </row>
    <row r="136" spans="1:36" x14ac:dyDescent="0.3">
      <c r="J136" s="34"/>
      <c r="N136" s="30"/>
      <c r="Q136" s="26" t="s">
        <v>405</v>
      </c>
      <c r="R136" s="38">
        <f>'Comprobación uniones'!E129</f>
        <v>0</v>
      </c>
      <c r="U136" s="25"/>
    </row>
    <row r="137" spans="1:36" x14ac:dyDescent="0.3">
      <c r="A137" t="s">
        <v>269</v>
      </c>
      <c r="F137" s="25"/>
      <c r="J137" s="34"/>
      <c r="N137" s="30"/>
      <c r="U137" s="25"/>
    </row>
    <row r="138" spans="1:36" x14ac:dyDescent="0.3">
      <c r="A138" s="1" t="s">
        <v>244</v>
      </c>
      <c r="F138" s="27" t="s">
        <v>251</v>
      </c>
      <c r="J138" s="32" t="s">
        <v>244</v>
      </c>
      <c r="K138" s="30">
        <f>MIN(B139:B144)</f>
        <v>26913.658633516705</v>
      </c>
      <c r="L138" s="30"/>
      <c r="M138" s="30">
        <f>VLOOKUP('Comprobación uniones'!F144,'Valores c. de las uniones'!J138:K139,2,FALSE)</f>
        <v>39696.623847038973</v>
      </c>
      <c r="N138" s="30">
        <f>M138*$U$149*'Comprobación uniones'!$C$134</f>
        <v>118853.88924921666</v>
      </c>
      <c r="O138" s="30"/>
      <c r="Q138" t="s">
        <v>323</v>
      </c>
      <c r="T138" s="28" t="s">
        <v>275</v>
      </c>
      <c r="U138" s="25"/>
      <c r="V138" s="25" t="s">
        <v>279</v>
      </c>
      <c r="AI138" t="s">
        <v>379</v>
      </c>
      <c r="AJ138">
        <f>VLOOKUP('Comprobación uniones'!F144,'Valores c. de las uniones'!AL38:AM39,2,FALSE)</f>
        <v>2</v>
      </c>
    </row>
    <row r="139" spans="1:36" x14ac:dyDescent="0.3">
      <c r="A139" t="s">
        <v>245</v>
      </c>
      <c r="B139" s="30">
        <f>R139*R129*R134</f>
        <v>37176.061906675139</v>
      </c>
      <c r="F139" s="25" t="s">
        <v>245</v>
      </c>
      <c r="G139" s="30">
        <f>R139*R129*R134*2</f>
        <v>74352.123813350277</v>
      </c>
      <c r="J139" s="33" t="s">
        <v>251</v>
      </c>
      <c r="K139" s="30">
        <f>MIN(G139:G142)</f>
        <v>39696.623847038973</v>
      </c>
      <c r="L139" s="30"/>
      <c r="M139" s="30"/>
      <c r="N139" s="30"/>
      <c r="O139" s="30"/>
      <c r="Q139" t="s">
        <v>261</v>
      </c>
      <c r="R139" s="25">
        <f>IF('Comprobación uniones'!$F$145="Tablero contrachapado",'Valores c. de las uniones'!U139,IF('Comprobación uniones'!$F$145="OSB",'Valores c. de las uniones'!W139,""))</f>
        <v>20.426407641030298</v>
      </c>
      <c r="T139" t="s">
        <v>261</v>
      </c>
      <c r="U139" s="25">
        <f>0.11*(1-(0.01*R134))*'Valores de cálculo'!C16</f>
        <v>30.931999999999999</v>
      </c>
      <c r="V139" s="25" t="s">
        <v>261</v>
      </c>
      <c r="W139" s="25">
        <f>50*(R134^(-0.6))*(R130^0.2)</f>
        <v>20.426407641030298</v>
      </c>
    </row>
    <row r="140" spans="1:36" x14ac:dyDescent="0.3">
      <c r="A140" t="s">
        <v>246</v>
      </c>
      <c r="B140" s="30">
        <f>R140*R130*R134</f>
        <v>106217.31973335755</v>
      </c>
      <c r="F140" s="25" t="s">
        <v>246</v>
      </c>
      <c r="G140" s="30">
        <f>0.5*R140*R130*R134*2</f>
        <v>106217.31973335755</v>
      </c>
      <c r="J140" s="34"/>
      <c r="N140" s="30"/>
      <c r="Q140" t="s">
        <v>262</v>
      </c>
      <c r="R140" s="25">
        <f>IF('Comprobación uniones'!$F$145="Tablero contrachapado",'Valores c. de las uniones'!U140,IF('Comprobación uniones'!$F$145="OSB",'Valores c. de las uniones'!W140,""))</f>
        <v>20.426407641030298</v>
      </c>
      <c r="T140" t="s">
        <v>262</v>
      </c>
      <c r="U140" s="25">
        <f>0.11*(1-(0.01*R134))*'Valores de cálculo'!C16</f>
        <v>30.931999999999999</v>
      </c>
      <c r="V140" s="25" t="s">
        <v>262</v>
      </c>
      <c r="W140" s="25">
        <f>50*(R134^(-0.6))*(R130^0.2)</f>
        <v>20.426407641030298</v>
      </c>
      <c r="AI140" t="s">
        <v>385</v>
      </c>
      <c r="AJ140" s="30">
        <f>AJ126*AJ138*AJ128*AJ129*AJ131/AJ130</f>
        <v>135260.424</v>
      </c>
    </row>
    <row r="141" spans="1:36" x14ac:dyDescent="0.3">
      <c r="A141" t="s">
        <v>247</v>
      </c>
      <c r="B141" s="30">
        <f>(B139/(1+R141))*((R141+(2*R141*R141*(1+(R130/R129)+((R130/R129)^2)))+((R141)^3)*((R130/R129)^2))^(0.5))-(R141*(1+(R130/R129)))</f>
        <v>107105.9219142142</v>
      </c>
      <c r="F141" s="25" t="s">
        <v>247</v>
      </c>
      <c r="G141" s="30">
        <f>1.05*(B139/(2+R141))*(((2*R141*(1+R141)+((4*R141*(2+R141)*R132)/(R139*R134*(R129^2))))^0.5)-R141)*2</f>
        <v>39696.623847038973</v>
      </c>
      <c r="H141" s="30"/>
      <c r="J141" s="34"/>
      <c r="N141" s="30"/>
      <c r="Q141" t="s">
        <v>258</v>
      </c>
      <c r="R141">
        <f>R140/R139</f>
        <v>1</v>
      </c>
      <c r="U141" s="25"/>
      <c r="V141" s="25"/>
    </row>
    <row r="142" spans="1:36" x14ac:dyDescent="0.3">
      <c r="A142" t="s">
        <v>248</v>
      </c>
      <c r="B142" s="30">
        <f>1.05*(B139/(2+R141))*(((2*R141*(1+R141)+((4.5*R141*(2+R141)*R132)/(R139*R134*(R129^2))^0.5))-R141))</f>
        <v>56187636.452641144</v>
      </c>
      <c r="F142" s="25" t="s">
        <v>248</v>
      </c>
      <c r="G142" s="30">
        <f>1.15*(((2*R141)/(1+R141))^0.5)*((2*R132*R139*R134)^0.5)*2</f>
        <v>53827.31726703341</v>
      </c>
      <c r="J142" s="34"/>
      <c r="N142" s="30"/>
      <c r="U142" s="25"/>
    </row>
    <row r="143" spans="1:36" x14ac:dyDescent="0.3">
      <c r="A143" t="s">
        <v>249</v>
      </c>
      <c r="B143" s="30">
        <f>1.05*((R139*R130*R134)/(1+(2*R141)))*(((2*(R141^2)*(1+R141)+((4.5*R141*(1+2*R141)*R132)/(R139*R134*(R130^2))))^0.5)-R141)</f>
        <v>40161.672174031701</v>
      </c>
      <c r="F143" s="25"/>
      <c r="J143" s="34"/>
      <c r="N143" s="30"/>
      <c r="U143" s="25"/>
    </row>
    <row r="144" spans="1:36" x14ac:dyDescent="0.3">
      <c r="A144" t="s">
        <v>250</v>
      </c>
      <c r="B144" s="30">
        <f>1.15*(((2*R141)/(1+R141))^0.5)*((2*R132*R139*R134)^0.5)</f>
        <v>26913.658633516705</v>
      </c>
      <c r="F144" s="25"/>
      <c r="J144" s="34"/>
      <c r="N144" s="30"/>
      <c r="U144" s="25"/>
    </row>
    <row r="145" spans="1:49" x14ac:dyDescent="0.3">
      <c r="F145" s="25"/>
      <c r="J145" s="34"/>
      <c r="N145" s="30"/>
      <c r="U145" s="31"/>
    </row>
    <row r="146" spans="1:49" x14ac:dyDescent="0.3">
      <c r="F146" s="25"/>
      <c r="J146" s="34"/>
      <c r="N146" s="30"/>
      <c r="U146" s="31"/>
    </row>
    <row r="147" spans="1:49" x14ac:dyDescent="0.3">
      <c r="A147" s="24" t="s">
        <v>252</v>
      </c>
      <c r="J147" s="34"/>
      <c r="N147" s="30"/>
      <c r="AO147" t="s">
        <v>403</v>
      </c>
      <c r="AV147" s="34" t="s">
        <v>312</v>
      </c>
      <c r="AW147">
        <f>'Comprobación uniones'!$C$126</f>
        <v>200</v>
      </c>
    </row>
    <row r="148" spans="1:49" x14ac:dyDescent="0.3">
      <c r="A148" t="s">
        <v>244</v>
      </c>
      <c r="F148" s="25" t="s">
        <v>251</v>
      </c>
      <c r="J148" s="34" t="s">
        <v>312</v>
      </c>
      <c r="K148" s="30">
        <f>MIN(B149:B150)</f>
        <v>16786.515200000002</v>
      </c>
      <c r="L148" s="30"/>
      <c r="M148" s="30">
        <f>VLOOKUP('Comprobación uniones'!I144,'Valores c. de las uniones'!J148:K152,2,FALSE)</f>
        <v>57190.161414187693</v>
      </c>
      <c r="N148" s="30">
        <f>M148*$U$149*'Comprobación uniones'!$C$134</f>
        <v>171230.50909967261</v>
      </c>
      <c r="O148" s="30"/>
      <c r="Q148" t="s">
        <v>324</v>
      </c>
      <c r="T148" s="25" t="s">
        <v>359</v>
      </c>
      <c r="AI148" t="s">
        <v>379</v>
      </c>
      <c r="AJ148">
        <f>VLOOKUP('Comprobación uniones'!I144,'Valores c. de las uniones'!AL22:AM26,2,FALSE)</f>
        <v>2</v>
      </c>
      <c r="AO148" t="s">
        <v>380</v>
      </c>
      <c r="AP148">
        <f>MIN(AQ148:AT148)</f>
        <v>0.59523809523809523</v>
      </c>
      <c r="AQ148">
        <f>AP155/(3*AP158)</f>
        <v>0.59523809523809523</v>
      </c>
      <c r="AR148">
        <f>(AP154/(3*AP158))-0.25</f>
        <v>1.4166666666666667</v>
      </c>
      <c r="AS148">
        <f>'Comprobación uniones'!C129/'Comprobación uniones'!C138</f>
        <v>0.87804878048780488</v>
      </c>
      <c r="AT148">
        <v>1</v>
      </c>
      <c r="AV148" s="34" t="s">
        <v>313</v>
      </c>
      <c r="AW148">
        <f>'Comprobación uniones'!$C$126</f>
        <v>200</v>
      </c>
    </row>
    <row r="149" spans="1:49" x14ac:dyDescent="0.3">
      <c r="A149" t="s">
        <v>253</v>
      </c>
      <c r="B149" s="30">
        <f>0.4*R149*R129*R134</f>
        <v>16786.515200000002</v>
      </c>
      <c r="F149" s="25" t="s">
        <v>253</v>
      </c>
      <c r="G149" s="30">
        <f>R149*R129*R134*2</f>
        <v>83932.576000000015</v>
      </c>
      <c r="J149" s="34" t="s">
        <v>313</v>
      </c>
      <c r="K149" s="30">
        <f>MIN(B151:B153)</f>
        <v>22285.214180769715</v>
      </c>
      <c r="L149" s="30"/>
      <c r="M149" s="30"/>
      <c r="N149" s="30"/>
      <c r="O149" s="30"/>
      <c r="Q149" t="s">
        <v>261</v>
      </c>
      <c r="R149" s="25">
        <f>U127</f>
        <v>23.058400000000002</v>
      </c>
      <c r="T149" s="25" t="s">
        <v>361</v>
      </c>
      <c r="U149" s="25">
        <f>MIN('Comprobación uniones'!C133,('Comprobación uniones'!C133^0.9)*(('Comprobación uniones'!C130/(13*'Comprobación uniones'!C128))^0.25))</f>
        <v>1.4970276780613692</v>
      </c>
      <c r="AO149" t="s">
        <v>393</v>
      </c>
      <c r="AP149">
        <f>MIN(AQ149:AS149)</f>
        <v>2.2999999999999998</v>
      </c>
      <c r="AQ149">
        <f>(2.8*AP157/AP158)-1.7</f>
        <v>3.3</v>
      </c>
      <c r="AR149">
        <f>(1.4*AP156/AP158)-1.7</f>
        <v>2.2999999999999998</v>
      </c>
      <c r="AS149">
        <v>2.5</v>
      </c>
      <c r="AV149" s="34" t="s">
        <v>314</v>
      </c>
      <c r="AW149">
        <f>'Comprobación uniones'!$C$126</f>
        <v>200</v>
      </c>
    </row>
    <row r="150" spans="1:49" x14ac:dyDescent="0.3">
      <c r="A150" t="s">
        <v>254</v>
      </c>
      <c r="B150" s="30">
        <f>1.15*((2*R132*R149*R134)^0.5)</f>
        <v>28595.080707093846</v>
      </c>
      <c r="F150" s="25" t="s">
        <v>254</v>
      </c>
      <c r="G150" s="30">
        <f>R149*R129*R134*((((2+((4*R132)/(R149*R134*R92^2))))^0.5)-1)*2</f>
        <v>44570.428361539431</v>
      </c>
      <c r="J150" s="34" t="s">
        <v>314</v>
      </c>
      <c r="K150" s="30">
        <f>MIN(G149:G151)</f>
        <v>44570.428361539431</v>
      </c>
      <c r="L150" s="30"/>
      <c r="M150" s="30"/>
      <c r="N150" s="30"/>
      <c r="O150" s="30"/>
      <c r="Q150" t="s">
        <v>262</v>
      </c>
      <c r="R150" s="25">
        <f>U127</f>
        <v>23.058400000000002</v>
      </c>
      <c r="AI150" t="s">
        <v>385</v>
      </c>
      <c r="AJ150" s="30">
        <f>AJ126*AJ148*AJ128*AJ129*AJ131/AJ130</f>
        <v>135260.424</v>
      </c>
      <c r="AO150" t="s">
        <v>264</v>
      </c>
      <c r="AP150">
        <f>'Comprobación uniones'!C138</f>
        <v>410</v>
      </c>
      <c r="AV150" s="34" t="s">
        <v>315</v>
      </c>
      <c r="AW150">
        <f>'Comprobación uniones'!$C$125</f>
        <v>70</v>
      </c>
    </row>
    <row r="151" spans="1:49" x14ac:dyDescent="0.3">
      <c r="A151" t="s">
        <v>255</v>
      </c>
      <c r="B151" s="30">
        <f>R149*R129*R134*((((2+((4*R132)/(R149*R134*R92^2))))^0.5)-1)</f>
        <v>22285.214180769715</v>
      </c>
      <c r="F151" s="25" t="s">
        <v>299</v>
      </c>
      <c r="G151" s="30">
        <f>2.3*((R132*R149*R134)^0.5)*2</f>
        <v>80879.101906250697</v>
      </c>
      <c r="J151" s="34" t="s">
        <v>315</v>
      </c>
      <c r="K151" s="30">
        <f>MIN(G152:G153)</f>
        <v>57190.161414187693</v>
      </c>
      <c r="L151" s="30"/>
      <c r="M151" s="30"/>
      <c r="N151" s="30"/>
      <c r="O151" s="30"/>
      <c r="AO151" t="s">
        <v>267</v>
      </c>
      <c r="AP151">
        <f>'Comprobación uniones'!C128</f>
        <v>26</v>
      </c>
      <c r="AV151" s="34" t="s">
        <v>316</v>
      </c>
      <c r="AW151">
        <f>'Comprobación uniones'!$C$125</f>
        <v>70</v>
      </c>
    </row>
    <row r="152" spans="1:49" x14ac:dyDescent="0.3">
      <c r="A152" t="s">
        <v>256</v>
      </c>
      <c r="B152" s="30">
        <f>2.3*((R132*R149*R134)^0.5)</f>
        <v>40439.550953125348</v>
      </c>
      <c r="F152" s="25" t="s">
        <v>255</v>
      </c>
      <c r="G152" s="30">
        <f>0.5*R150*R130*R134*2</f>
        <v>119903.68000000001</v>
      </c>
      <c r="J152" s="34" t="s">
        <v>316</v>
      </c>
      <c r="K152" s="30">
        <f>MIN(G154:G155)</f>
        <v>80879.101906250697</v>
      </c>
      <c r="L152" s="30"/>
      <c r="M152" s="30"/>
      <c r="N152" s="30"/>
      <c r="O152" s="30"/>
      <c r="AO152" t="s">
        <v>394</v>
      </c>
      <c r="AP152">
        <f>VLOOKUP('Comprobación uniones'!I144,'Valores c. de las uniones'!AV147:AW151,2,FALSE)</f>
        <v>70</v>
      </c>
    </row>
    <row r="153" spans="1:49" x14ac:dyDescent="0.3">
      <c r="A153" t="s">
        <v>257</v>
      </c>
      <c r="B153" s="30">
        <f>R149*R129*R134</f>
        <v>41966.288000000008</v>
      </c>
      <c r="F153" s="25" t="s">
        <v>256</v>
      </c>
      <c r="G153" s="30">
        <f>1.15*((2*R132*R150*R134)^0.5)*2</f>
        <v>57190.161414187693</v>
      </c>
      <c r="AO153" t="s">
        <v>382</v>
      </c>
      <c r="AP153">
        <v>1.25</v>
      </c>
    </row>
    <row r="154" spans="1:49" x14ac:dyDescent="0.3">
      <c r="F154" s="25" t="s">
        <v>300</v>
      </c>
      <c r="G154" s="30">
        <f>0.5*R150*R130*R134*2</f>
        <v>119903.68000000001</v>
      </c>
      <c r="AO154" t="s">
        <v>398</v>
      </c>
      <c r="AP154">
        <f>'Comprobación uniones'!C130</f>
        <v>140</v>
      </c>
    </row>
    <row r="155" spans="1:49" x14ac:dyDescent="0.3">
      <c r="F155" s="25" t="s">
        <v>301</v>
      </c>
      <c r="G155" s="30">
        <f>2.3*((R132*R150*R134)^0.5)*2</f>
        <v>80879.101906250697</v>
      </c>
      <c r="AO155" t="s">
        <v>397</v>
      </c>
      <c r="AP155">
        <f>'Comprobación uniones'!C139</f>
        <v>50</v>
      </c>
    </row>
    <row r="156" spans="1:49" x14ac:dyDescent="0.3">
      <c r="AO156" t="s">
        <v>400</v>
      </c>
      <c r="AP156">
        <f>'Comprobación uniones'!C131</f>
        <v>80</v>
      </c>
    </row>
    <row r="157" spans="1:49" x14ac:dyDescent="0.3">
      <c r="AO157" t="s">
        <v>399</v>
      </c>
      <c r="AP157">
        <f>'Comprobación uniones'!C140</f>
        <v>50</v>
      </c>
    </row>
    <row r="158" spans="1:49" x14ac:dyDescent="0.3">
      <c r="AO158" t="s">
        <v>401</v>
      </c>
      <c r="AP158">
        <f>AP151+2</f>
        <v>28</v>
      </c>
    </row>
    <row r="160" spans="1:49" x14ac:dyDescent="0.3">
      <c r="AO160" t="s">
        <v>395</v>
      </c>
      <c r="AP160" s="25">
        <f>AP148*AP149*AP150*AP151*AP152/AP153</f>
        <v>817266.66666666651</v>
      </c>
    </row>
  </sheetData>
  <sheetProtection algorithmName="SHA-512" hashValue="8gKN5B58umBkv5fSjGqTi+/UyMNYO8OTXCG7w3G02Bf0GFTAiSSo+oLTnkA1qc+Ly1WIdGXrUcD0unVjiNj3Wg==" saltValue="PGnkfgjCPhx/pH7IgU6AdQ==" spinCount="100000" sheet="1" objects="1" scenarios="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Introducción. Guía Básica</vt:lpstr>
      <vt:lpstr>Info. Técnica Uniones</vt:lpstr>
      <vt:lpstr>Valores de cálculo</vt:lpstr>
      <vt:lpstr>Comprobación secciones</vt:lpstr>
      <vt:lpstr>Comprobación uniones</vt:lpstr>
      <vt:lpstr>Coeficientes y kmod</vt:lpstr>
      <vt:lpstr>Valores c. de la madera</vt:lpstr>
      <vt:lpstr>Valores c. de las uniones</vt:lpstr>
      <vt:lpstr>CON_TALADRO_PREVIO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Héctor</dc:creator>
  <cp:lastModifiedBy>Héctor</cp:lastModifiedBy>
  <dcterms:created xsi:type="dcterms:W3CDTF">2022-01-21T15:50:52Z</dcterms:created>
  <dcterms:modified xsi:type="dcterms:W3CDTF">2022-09-13T09:21:52Z</dcterms:modified>
</cp:coreProperties>
</file>