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320" firstSheet="1" activeTab="7"/>
  </bookViews>
  <sheets>
    <sheet name="Datos" sheetId="1" r:id="rId1"/>
    <sheet name="Estructura granja" sheetId="4" r:id="rId2"/>
    <sheet name="Necesidades energéticas" sheetId="6" r:id="rId3"/>
    <sheet name="Piensos" sheetId="8" r:id="rId4"/>
    <sheet name="Ingredientes" sheetId="10" r:id="rId5"/>
    <sheet name="Balance Nitrógeno" sheetId="9" r:id="rId6"/>
    <sheet name="Emisiones" sheetId="11" r:id="rId7"/>
    <sheet name="Resumen" sheetId="5" r:id="rId8"/>
  </sheets>
  <definedNames>
    <definedName name="_xlnm._FilterDatabase" localSheetId="3" hidden="1">Piensos!$A$1:$AU$18</definedName>
  </definedNames>
  <calcPr calcId="125725" concurrentCalc="0"/>
</workbook>
</file>

<file path=xl/calcChain.xml><?xml version="1.0" encoding="utf-8"?>
<calcChain xmlns="http://schemas.openxmlformats.org/spreadsheetml/2006/main">
  <c r="B14" i="1"/>
  <c r="D14"/>
  <c r="E14"/>
  <c r="C14"/>
  <c r="C3" i="4"/>
  <c r="C2"/>
  <c r="C9"/>
  <c r="AN3" i="8"/>
  <c r="AN4"/>
  <c r="AN5"/>
  <c r="AN6"/>
  <c r="AN7"/>
  <c r="AN8"/>
  <c r="AN9"/>
  <c r="AN10"/>
  <c r="AN11"/>
  <c r="AN12"/>
  <c r="AN13"/>
  <c r="AN14"/>
  <c r="AN15"/>
  <c r="AN16"/>
  <c r="AN17"/>
  <c r="AN18"/>
  <c r="D8" i="6"/>
  <c r="C9"/>
  <c r="D9"/>
  <c r="E9"/>
  <c r="H9"/>
  <c r="I9"/>
  <c r="J9"/>
  <c r="F9"/>
  <c r="G9"/>
  <c r="K9"/>
  <c r="L9"/>
  <c r="N9"/>
  <c r="Q9"/>
  <c r="R9"/>
  <c r="AR3" i="8"/>
  <c r="AR4"/>
  <c r="AR5"/>
  <c r="AR6"/>
  <c r="AR7"/>
  <c r="AR8"/>
  <c r="AR9"/>
  <c r="AR10"/>
  <c r="AR11"/>
  <c r="AR12"/>
  <c r="AR13"/>
  <c r="AR14"/>
  <c r="AR15"/>
  <c r="AR16"/>
  <c r="AR17"/>
  <c r="AR18"/>
  <c r="S9" i="6"/>
  <c r="AP3" i="8"/>
  <c r="AP4"/>
  <c r="AP5"/>
  <c r="AP6"/>
  <c r="AP7"/>
  <c r="AP8"/>
  <c r="AP9"/>
  <c r="AP10"/>
  <c r="AP11"/>
  <c r="AP12"/>
  <c r="AP13"/>
  <c r="AP14"/>
  <c r="AP15"/>
  <c r="AP16"/>
  <c r="AP17"/>
  <c r="AP18"/>
  <c r="P9" i="6"/>
  <c r="AQ3" i="8"/>
  <c r="AQ4"/>
  <c r="AQ5"/>
  <c r="AQ6"/>
  <c r="AQ7"/>
  <c r="AQ8"/>
  <c r="AQ9"/>
  <c r="AQ10"/>
  <c r="AQ11"/>
  <c r="AQ12"/>
  <c r="AQ13"/>
  <c r="AQ14"/>
  <c r="AQ15"/>
  <c r="AQ16"/>
  <c r="AQ17"/>
  <c r="AQ18"/>
  <c r="L9" i="9"/>
  <c r="C6" i="4"/>
  <c r="D4" i="6"/>
  <c r="C5"/>
  <c r="D5"/>
  <c r="C6"/>
  <c r="D6"/>
  <c r="E6"/>
  <c r="H6"/>
  <c r="I6"/>
  <c r="J6"/>
  <c r="F6"/>
  <c r="G6"/>
  <c r="K6"/>
  <c r="L6"/>
  <c r="N6"/>
  <c r="Q6"/>
  <c r="R6"/>
  <c r="S6"/>
  <c r="P6"/>
  <c r="L6" i="9"/>
  <c r="C5" i="4"/>
  <c r="C7"/>
  <c r="C8"/>
  <c r="C10"/>
  <c r="C12"/>
  <c r="AE3" i="8"/>
  <c r="AE4"/>
  <c r="AE5"/>
  <c r="AE6"/>
  <c r="AE7"/>
  <c r="AE8"/>
  <c r="AE9"/>
  <c r="AE10"/>
  <c r="AE11"/>
  <c r="AE12"/>
  <c r="AE13"/>
  <c r="AE14"/>
  <c r="AE15"/>
  <c r="AE16"/>
  <c r="AE17"/>
  <c r="AE18"/>
  <c r="D11" i="6"/>
  <c r="C12"/>
  <c r="D12"/>
  <c r="E12"/>
  <c r="H12"/>
  <c r="I12"/>
  <c r="J12"/>
  <c r="G12"/>
  <c r="K12"/>
  <c r="N12"/>
  <c r="Q12"/>
  <c r="R12"/>
  <c r="AI3" i="8"/>
  <c r="AI4"/>
  <c r="AI5"/>
  <c r="AI6"/>
  <c r="AI7"/>
  <c r="AI8"/>
  <c r="AI9"/>
  <c r="AI10"/>
  <c r="AI11"/>
  <c r="AI12"/>
  <c r="AI13"/>
  <c r="AI14"/>
  <c r="AI15"/>
  <c r="AI16"/>
  <c r="AI17"/>
  <c r="AI18"/>
  <c r="S12" i="6"/>
  <c r="AG3" i="8"/>
  <c r="AG4"/>
  <c r="AG5"/>
  <c r="AG6"/>
  <c r="AG7"/>
  <c r="AG8"/>
  <c r="AG9"/>
  <c r="AG10"/>
  <c r="AG11"/>
  <c r="AG12"/>
  <c r="AG13"/>
  <c r="AG14"/>
  <c r="AG15"/>
  <c r="AG16"/>
  <c r="AG17"/>
  <c r="AG18"/>
  <c r="P12" i="6"/>
  <c r="AH3" i="8"/>
  <c r="AH4"/>
  <c r="AH5"/>
  <c r="AH6"/>
  <c r="AH7"/>
  <c r="AH8"/>
  <c r="AH9"/>
  <c r="AH10"/>
  <c r="AH11"/>
  <c r="AH12"/>
  <c r="AH13"/>
  <c r="AH14"/>
  <c r="AH15"/>
  <c r="AH16"/>
  <c r="AH17"/>
  <c r="AH18"/>
  <c r="L12" i="9"/>
  <c r="E5" i="6"/>
  <c r="H5"/>
  <c r="I5"/>
  <c r="J5"/>
  <c r="G5"/>
  <c r="K5"/>
  <c r="M5"/>
  <c r="N5"/>
  <c r="Q5"/>
  <c r="R5"/>
  <c r="S5"/>
  <c r="P5"/>
  <c r="L5" i="9"/>
  <c r="C10" i="6"/>
  <c r="D10"/>
  <c r="E10"/>
  <c r="H10"/>
  <c r="I10"/>
  <c r="J10"/>
  <c r="F10"/>
  <c r="G10"/>
  <c r="K10"/>
  <c r="N10"/>
  <c r="Q10"/>
  <c r="R10"/>
  <c r="S10"/>
  <c r="P10"/>
  <c r="L10" i="9"/>
  <c r="D7" i="6"/>
  <c r="C8"/>
  <c r="E8"/>
  <c r="H8"/>
  <c r="I8"/>
  <c r="J8"/>
  <c r="M8"/>
  <c r="N8"/>
  <c r="Q8"/>
  <c r="R8"/>
  <c r="S8"/>
  <c r="P8"/>
  <c r="L8" i="9"/>
  <c r="C7" i="6"/>
  <c r="E7"/>
  <c r="H7"/>
  <c r="E4"/>
  <c r="I4"/>
  <c r="I7"/>
  <c r="J7"/>
  <c r="C2"/>
  <c r="G2"/>
  <c r="F2"/>
  <c r="F4"/>
  <c r="G4"/>
  <c r="G7"/>
  <c r="K7"/>
  <c r="N7"/>
  <c r="Q7"/>
  <c r="F7"/>
  <c r="R7"/>
  <c r="S7"/>
  <c r="P7"/>
  <c r="L7" i="9"/>
  <c r="C11" i="4"/>
  <c r="V3" i="8"/>
  <c r="V4"/>
  <c r="V5"/>
  <c r="V6"/>
  <c r="V7"/>
  <c r="V8"/>
  <c r="V9"/>
  <c r="V10"/>
  <c r="V11"/>
  <c r="V12"/>
  <c r="V13"/>
  <c r="V14"/>
  <c r="V15"/>
  <c r="V16"/>
  <c r="V17"/>
  <c r="V18"/>
  <c r="E11" i="6"/>
  <c r="H11"/>
  <c r="I11"/>
  <c r="J11"/>
  <c r="F11"/>
  <c r="G11"/>
  <c r="K11"/>
  <c r="N11"/>
  <c r="Q11"/>
  <c r="R11"/>
  <c r="Z3" i="8"/>
  <c r="Z4"/>
  <c r="Z5"/>
  <c r="Z6"/>
  <c r="Z7"/>
  <c r="Z8"/>
  <c r="Z9"/>
  <c r="Z10"/>
  <c r="Z11"/>
  <c r="Z12"/>
  <c r="Z13"/>
  <c r="Z14"/>
  <c r="Z15"/>
  <c r="Z16"/>
  <c r="Z17"/>
  <c r="Z18"/>
  <c r="S11" i="6"/>
  <c r="X3" i="8"/>
  <c r="X4"/>
  <c r="X5"/>
  <c r="X6"/>
  <c r="X7"/>
  <c r="X8"/>
  <c r="X9"/>
  <c r="X10"/>
  <c r="X11"/>
  <c r="X12"/>
  <c r="X13"/>
  <c r="X14"/>
  <c r="X15"/>
  <c r="X16"/>
  <c r="X17"/>
  <c r="X18"/>
  <c r="P11" i="6"/>
  <c r="Y3" i="8"/>
  <c r="Y4"/>
  <c r="Y5"/>
  <c r="Y6"/>
  <c r="Y7"/>
  <c r="Y8"/>
  <c r="Y9"/>
  <c r="Y10"/>
  <c r="Y11"/>
  <c r="Y12"/>
  <c r="Y13"/>
  <c r="Y14"/>
  <c r="Y15"/>
  <c r="Y16"/>
  <c r="Y17"/>
  <c r="Y18"/>
  <c r="L11" i="9"/>
  <c r="C4" i="4"/>
  <c r="H4" i="6"/>
  <c r="J4"/>
  <c r="K4"/>
  <c r="N4"/>
  <c r="Q4"/>
  <c r="R4"/>
  <c r="S4"/>
  <c r="P4"/>
  <c r="L4" i="9"/>
  <c r="D3" i="6"/>
  <c r="E3"/>
  <c r="H3"/>
  <c r="I3"/>
  <c r="J3"/>
  <c r="G3"/>
  <c r="K3"/>
  <c r="N3"/>
  <c r="Q3"/>
  <c r="F3"/>
  <c r="R3"/>
  <c r="S3"/>
  <c r="P3"/>
  <c r="L3" i="9"/>
  <c r="M3" i="8"/>
  <c r="M4"/>
  <c r="M5"/>
  <c r="M6"/>
  <c r="M7"/>
  <c r="M8"/>
  <c r="M9"/>
  <c r="M10"/>
  <c r="M11"/>
  <c r="M12"/>
  <c r="M13"/>
  <c r="M14"/>
  <c r="M15"/>
  <c r="M16"/>
  <c r="M17"/>
  <c r="M18"/>
  <c r="E2" i="6"/>
  <c r="H2"/>
  <c r="I2"/>
  <c r="J2"/>
  <c r="K2"/>
  <c r="N2"/>
  <c r="Q2"/>
  <c r="R2"/>
  <c r="Q3" i="8"/>
  <c r="Q4"/>
  <c r="Q5"/>
  <c r="Q6"/>
  <c r="Q7"/>
  <c r="Q8"/>
  <c r="Q9"/>
  <c r="Q10"/>
  <c r="Q11"/>
  <c r="Q12"/>
  <c r="Q13"/>
  <c r="Q14"/>
  <c r="Q15"/>
  <c r="Q16"/>
  <c r="Q17"/>
  <c r="Q18"/>
  <c r="S2" i="6"/>
  <c r="O3" i="8"/>
  <c r="O4"/>
  <c r="O5"/>
  <c r="O6"/>
  <c r="O7"/>
  <c r="O8"/>
  <c r="O9"/>
  <c r="O10"/>
  <c r="O11"/>
  <c r="O12"/>
  <c r="O13"/>
  <c r="O14"/>
  <c r="O15"/>
  <c r="O16"/>
  <c r="O17"/>
  <c r="O18"/>
  <c r="P2" i="6"/>
  <c r="P3" i="8"/>
  <c r="P4"/>
  <c r="P5"/>
  <c r="P6"/>
  <c r="P7"/>
  <c r="P8"/>
  <c r="P9"/>
  <c r="P10"/>
  <c r="P11"/>
  <c r="P12"/>
  <c r="P13"/>
  <c r="P14"/>
  <c r="P15"/>
  <c r="P16"/>
  <c r="P17"/>
  <c r="P18"/>
  <c r="L2" i="9"/>
  <c r="AF4" i="8"/>
  <c r="AU6"/>
  <c r="AU7"/>
  <c r="AU8"/>
  <c r="AU9"/>
  <c r="AU10"/>
  <c r="AU11"/>
  <c r="AU4"/>
  <c r="J6"/>
  <c r="AT6"/>
  <c r="J7"/>
  <c r="AT7"/>
  <c r="J8"/>
  <c r="AT8"/>
  <c r="AT9"/>
  <c r="AT10"/>
  <c r="AT11"/>
  <c r="J4"/>
  <c r="AT4"/>
  <c r="I6"/>
  <c r="AS6"/>
  <c r="I7"/>
  <c r="AS7"/>
  <c r="I8"/>
  <c r="AS8"/>
  <c r="I9"/>
  <c r="AS9"/>
  <c r="I10"/>
  <c r="AS10"/>
  <c r="I11"/>
  <c r="AS11"/>
  <c r="I12"/>
  <c r="AS12"/>
  <c r="I13"/>
  <c r="AS13"/>
  <c r="I4"/>
  <c r="AS4"/>
  <c r="AO13"/>
  <c r="AO14"/>
  <c r="AO15"/>
  <c r="AO16"/>
  <c r="AO17"/>
  <c r="AO11"/>
  <c r="AO12"/>
  <c r="AO9"/>
  <c r="AO10"/>
  <c r="AO6"/>
  <c r="AO7"/>
  <c r="AO4"/>
  <c r="AL6"/>
  <c r="AL7"/>
  <c r="AL8"/>
  <c r="AL9"/>
  <c r="AL10"/>
  <c r="AL11"/>
  <c r="AL12"/>
  <c r="AL13"/>
  <c r="AL14"/>
  <c r="AL15"/>
  <c r="AL16"/>
  <c r="AL17"/>
  <c r="AL3"/>
  <c r="AL4"/>
  <c r="AK6"/>
  <c r="AK7"/>
  <c r="AK8"/>
  <c r="AK9"/>
  <c r="AK10"/>
  <c r="AK11"/>
  <c r="AK12"/>
  <c r="AK13"/>
  <c r="AK14"/>
  <c r="AK15"/>
  <c r="AK16"/>
  <c r="J17"/>
  <c r="AK17"/>
  <c r="J3"/>
  <c r="AK3"/>
  <c r="AK4"/>
  <c r="AJ6"/>
  <c r="AJ7"/>
  <c r="AJ8"/>
  <c r="AJ9"/>
  <c r="AJ10"/>
  <c r="AJ11"/>
  <c r="AJ12"/>
  <c r="AJ13"/>
  <c r="I14"/>
  <c r="AJ14"/>
  <c r="I15"/>
  <c r="AJ15"/>
  <c r="I16"/>
  <c r="AJ16"/>
  <c r="I17"/>
  <c r="AJ17"/>
  <c r="I3"/>
  <c r="AJ3"/>
  <c r="AJ4"/>
  <c r="F3"/>
  <c r="F4"/>
  <c r="AF6"/>
  <c r="AF7"/>
  <c r="AF8"/>
  <c r="AF9"/>
  <c r="AF10"/>
  <c r="AF11"/>
  <c r="AF12"/>
  <c r="AF13"/>
  <c r="AF14"/>
  <c r="AF15"/>
  <c r="AF16"/>
  <c r="AF17"/>
  <c r="AF3"/>
  <c r="T6"/>
  <c r="T7"/>
  <c r="S7"/>
  <c r="S6"/>
  <c r="R6"/>
  <c r="R7"/>
  <c r="F6"/>
  <c r="F7"/>
  <c r="N6"/>
  <c r="N7"/>
  <c r="N8"/>
  <c r="N9"/>
  <c r="N13"/>
  <c r="N14"/>
  <c r="N15"/>
  <c r="N16"/>
  <c r="N17"/>
  <c r="AC6"/>
  <c r="AC7"/>
  <c r="AB6"/>
  <c r="AB7"/>
  <c r="AA6"/>
  <c r="AA7"/>
  <c r="F8"/>
  <c r="W6"/>
  <c r="W7"/>
  <c r="W8"/>
  <c r="W9"/>
  <c r="W17"/>
  <c r="W13"/>
  <c r="W14"/>
  <c r="W15"/>
  <c r="W16"/>
  <c r="T3"/>
  <c r="T4"/>
  <c r="T5"/>
  <c r="T8"/>
  <c r="T9"/>
  <c r="T10"/>
  <c r="T11"/>
  <c r="T12"/>
  <c r="T13"/>
  <c r="T14"/>
  <c r="T15"/>
  <c r="T16"/>
  <c r="T17"/>
  <c r="T18"/>
  <c r="F5"/>
  <c r="F9"/>
  <c r="F10"/>
  <c r="F11"/>
  <c r="F12"/>
  <c r="F14"/>
  <c r="R3"/>
  <c r="R4"/>
  <c r="I5"/>
  <c r="R5"/>
  <c r="R8"/>
  <c r="R9"/>
  <c r="R10"/>
  <c r="R11"/>
  <c r="R12"/>
  <c r="R13"/>
  <c r="R14"/>
  <c r="R15"/>
  <c r="R16"/>
  <c r="R17"/>
  <c r="R18"/>
  <c r="N3"/>
  <c r="N4"/>
  <c r="N5"/>
  <c r="N10"/>
  <c r="N11"/>
  <c r="N12"/>
  <c r="N18"/>
  <c r="C3" i="6"/>
  <c r="W3" i="8"/>
  <c r="W4"/>
  <c r="W5"/>
  <c r="W10"/>
  <c r="W11"/>
  <c r="W12"/>
  <c r="W18"/>
  <c r="C4" i="6"/>
  <c r="F5"/>
  <c r="AF5" i="8"/>
  <c r="AF18"/>
  <c r="G5" i="9"/>
  <c r="J5"/>
  <c r="C5"/>
  <c r="E5"/>
  <c r="F5"/>
  <c r="I5"/>
  <c r="K5"/>
  <c r="M5"/>
  <c r="N5"/>
  <c r="O5"/>
  <c r="P5"/>
  <c r="Q5"/>
  <c r="B6" i="11"/>
  <c r="AO3" i="8"/>
  <c r="AO5"/>
  <c r="AO8"/>
  <c r="AO18"/>
  <c r="G6" i="9"/>
  <c r="J6"/>
  <c r="C6"/>
  <c r="D6"/>
  <c r="F6"/>
  <c r="I6"/>
  <c r="K6"/>
  <c r="M6"/>
  <c r="N6"/>
  <c r="O6"/>
  <c r="P6"/>
  <c r="Q6"/>
  <c r="B7" i="11"/>
  <c r="K8" i="6"/>
  <c r="F8"/>
  <c r="G8" i="9"/>
  <c r="J8"/>
  <c r="G8" i="6"/>
  <c r="C8" i="9"/>
  <c r="E8"/>
  <c r="F8"/>
  <c r="I8"/>
  <c r="K8"/>
  <c r="M8"/>
  <c r="N8"/>
  <c r="O8"/>
  <c r="P8"/>
  <c r="Q8"/>
  <c r="B9" i="11"/>
  <c r="G9" i="9"/>
  <c r="J9"/>
  <c r="C9"/>
  <c r="D9"/>
  <c r="F9"/>
  <c r="I9"/>
  <c r="K9"/>
  <c r="M9"/>
  <c r="N9"/>
  <c r="O9"/>
  <c r="P9"/>
  <c r="Q9"/>
  <c r="B10" i="11"/>
  <c r="G10" i="9"/>
  <c r="J10"/>
  <c r="C10"/>
  <c r="F10"/>
  <c r="I10"/>
  <c r="K10"/>
  <c r="M10"/>
  <c r="N10"/>
  <c r="O10"/>
  <c r="P10"/>
  <c r="Q10"/>
  <c r="B11" i="11"/>
  <c r="F12" i="6"/>
  <c r="G12" i="9"/>
  <c r="J12"/>
  <c r="C12"/>
  <c r="F12"/>
  <c r="I12"/>
  <c r="K12"/>
  <c r="M12"/>
  <c r="N12"/>
  <c r="O12"/>
  <c r="P12"/>
  <c r="Q12"/>
  <c r="B13" i="11"/>
  <c r="S3" i="8"/>
  <c r="S4"/>
  <c r="J5"/>
  <c r="S5"/>
  <c r="S8"/>
  <c r="S9"/>
  <c r="S10"/>
  <c r="S11"/>
  <c r="S12"/>
  <c r="S13"/>
  <c r="S14"/>
  <c r="S15"/>
  <c r="S16"/>
  <c r="S17"/>
  <c r="S18"/>
  <c r="AB3"/>
  <c r="AB4"/>
  <c r="AB5"/>
  <c r="AB8"/>
  <c r="AB9"/>
  <c r="AB10"/>
  <c r="AB11"/>
  <c r="AB12"/>
  <c r="AB13"/>
  <c r="AB14"/>
  <c r="AB15"/>
  <c r="AB16"/>
  <c r="AB17"/>
  <c r="AB18"/>
  <c r="AK5"/>
  <c r="AK18"/>
  <c r="G6" i="11"/>
  <c r="AT3" i="8"/>
  <c r="AT5"/>
  <c r="AT12"/>
  <c r="AT13"/>
  <c r="AT14"/>
  <c r="AT15"/>
  <c r="AT16"/>
  <c r="AT17"/>
  <c r="AT18"/>
  <c r="G7" i="11"/>
  <c r="G9"/>
  <c r="G10"/>
  <c r="G11"/>
  <c r="G13"/>
  <c r="AA3" i="8"/>
  <c r="AA4"/>
  <c r="AA5"/>
  <c r="AA8"/>
  <c r="AA9"/>
  <c r="AA10"/>
  <c r="AA11"/>
  <c r="AA12"/>
  <c r="AA13"/>
  <c r="AA14"/>
  <c r="AA15"/>
  <c r="AA16"/>
  <c r="AA17"/>
  <c r="AA18"/>
  <c r="AJ5"/>
  <c r="AJ18"/>
  <c r="F6" i="11"/>
  <c r="AS3" i="8"/>
  <c r="AS5"/>
  <c r="AS14"/>
  <c r="AS15"/>
  <c r="AS16"/>
  <c r="AS17"/>
  <c r="AS18"/>
  <c r="F7" i="11"/>
  <c r="F9"/>
  <c r="F10"/>
  <c r="F11"/>
  <c r="F13"/>
  <c r="T5" i="9"/>
  <c r="H6" i="11"/>
  <c r="I6"/>
  <c r="T6" i="9"/>
  <c r="H7" i="11"/>
  <c r="I7"/>
  <c r="T8" i="9"/>
  <c r="H9" i="11"/>
  <c r="I9"/>
  <c r="T9" i="9"/>
  <c r="H10" i="11"/>
  <c r="I10"/>
  <c r="T10" i="9"/>
  <c r="H11" i="11"/>
  <c r="I11"/>
  <c r="T12" i="9"/>
  <c r="H13" i="11"/>
  <c r="I13"/>
  <c r="R5" i="9"/>
  <c r="C6" i="11"/>
  <c r="D5" i="4"/>
  <c r="S5" i="9"/>
  <c r="D6" i="11"/>
  <c r="E6"/>
  <c r="R6" i="9"/>
  <c r="C7" i="11"/>
  <c r="D6" i="4"/>
  <c r="S6" i="9"/>
  <c r="D7" i="11"/>
  <c r="E7"/>
  <c r="D7" i="4"/>
  <c r="S7" i="9"/>
  <c r="D8" i="11"/>
  <c r="R8" i="9"/>
  <c r="C9" i="11"/>
  <c r="D8" i="4"/>
  <c r="S8" i="9"/>
  <c r="D9" i="11"/>
  <c r="E9"/>
  <c r="R9" i="9"/>
  <c r="C10" i="11"/>
  <c r="D9" i="4"/>
  <c r="S9" i="9"/>
  <c r="D10" i="11"/>
  <c r="E10"/>
  <c r="R10" i="9"/>
  <c r="C11" i="11"/>
  <c r="D10" i="4"/>
  <c r="S10" i="9"/>
  <c r="D11" i="11"/>
  <c r="E11"/>
  <c r="R12" i="9"/>
  <c r="C13" i="11"/>
  <c r="D12" i="4"/>
  <c r="S12" i="9"/>
  <c r="D13" i="11"/>
  <c r="E13"/>
  <c r="K4" i="5"/>
  <c r="J6" i="11"/>
  <c r="J7"/>
  <c r="J9"/>
  <c r="J10"/>
  <c r="J11"/>
  <c r="J13"/>
  <c r="K6"/>
  <c r="K7"/>
  <c r="K9"/>
  <c r="K10"/>
  <c r="K11"/>
  <c r="K13"/>
  <c r="AC3" i="8"/>
  <c r="AC4"/>
  <c r="AC5"/>
  <c r="AC8"/>
  <c r="AC9"/>
  <c r="AC10"/>
  <c r="AC11"/>
  <c r="AC12"/>
  <c r="AC13"/>
  <c r="AC14"/>
  <c r="AC15"/>
  <c r="AC16"/>
  <c r="AC17"/>
  <c r="AC18"/>
  <c r="C11" i="6"/>
  <c r="I5" i="10"/>
  <c r="I6"/>
  <c r="I7"/>
  <c r="I8"/>
  <c r="I9"/>
  <c r="I10"/>
  <c r="I4"/>
  <c r="I18"/>
  <c r="AU17" i="8"/>
  <c r="AU16"/>
  <c r="AU15"/>
  <c r="AU14"/>
  <c r="AU13"/>
  <c r="AU12"/>
  <c r="AU5"/>
  <c r="AU3"/>
  <c r="AL5"/>
  <c r="AU18"/>
  <c r="AL18"/>
  <c r="O6" i="6"/>
  <c r="O10"/>
  <c r="O12"/>
  <c r="C15" i="4"/>
  <c r="C16"/>
  <c r="C17"/>
  <c r="O9" i="6"/>
  <c r="O5"/>
  <c r="T12"/>
  <c r="O8"/>
  <c r="T10"/>
  <c r="T6"/>
  <c r="T9"/>
  <c r="T5"/>
  <c r="H10" i="9"/>
  <c r="H9"/>
  <c r="H5"/>
  <c r="H6"/>
  <c r="H12"/>
  <c r="T8" i="6"/>
  <c r="H8" i="9"/>
  <c r="C2"/>
  <c r="F2"/>
  <c r="I2"/>
  <c r="G2"/>
  <c r="J2"/>
  <c r="K2"/>
  <c r="M2"/>
  <c r="N2"/>
  <c r="O2"/>
  <c r="P2"/>
  <c r="C3"/>
  <c r="F3"/>
  <c r="I3"/>
  <c r="G3"/>
  <c r="J3"/>
  <c r="K3"/>
  <c r="M3"/>
  <c r="N3"/>
  <c r="O3"/>
  <c r="P3"/>
  <c r="C4"/>
  <c r="F4"/>
  <c r="I4"/>
  <c r="G4"/>
  <c r="J4"/>
  <c r="K4"/>
  <c r="M4"/>
  <c r="N4"/>
  <c r="O4"/>
  <c r="P4"/>
  <c r="C7"/>
  <c r="F7"/>
  <c r="I7"/>
  <c r="G7"/>
  <c r="J7"/>
  <c r="K7"/>
  <c r="M7"/>
  <c r="N7"/>
  <c r="O7"/>
  <c r="P7"/>
  <c r="C11"/>
  <c r="F11"/>
  <c r="I11"/>
  <c r="G11"/>
  <c r="J11"/>
  <c r="K11"/>
  <c r="M11"/>
  <c r="N11"/>
  <c r="O11"/>
  <c r="P11"/>
  <c r="Q2"/>
  <c r="B3" i="11"/>
  <c r="Q3" i="9"/>
  <c r="B4" i="11"/>
  <c r="Q4" i="9"/>
  <c r="B5" i="11"/>
  <c r="Q7" i="9"/>
  <c r="B8" i="11"/>
  <c r="Q11" i="9"/>
  <c r="B12" i="11"/>
  <c r="B14"/>
  <c r="M12" i="5"/>
  <c r="G4" i="11"/>
  <c r="G5"/>
  <c r="G8"/>
  <c r="G12"/>
  <c r="G3"/>
  <c r="G14"/>
  <c r="M11" i="5"/>
  <c r="M13"/>
  <c r="F4" i="11"/>
  <c r="F5"/>
  <c r="F8"/>
  <c r="F12"/>
  <c r="T3" i="9"/>
  <c r="H4" i="11"/>
  <c r="I4"/>
  <c r="T4" i="9"/>
  <c r="H5" i="11"/>
  <c r="I5"/>
  <c r="T7" i="9"/>
  <c r="H8" i="11"/>
  <c r="I8"/>
  <c r="T11" i="9"/>
  <c r="H12" i="11"/>
  <c r="I12"/>
  <c r="T2" i="9"/>
  <c r="H3" i="11"/>
  <c r="I3"/>
  <c r="I14"/>
  <c r="M7" i="5"/>
  <c r="D3" i="4"/>
  <c r="S3" i="9"/>
  <c r="D4" i="11"/>
  <c r="D4" i="4"/>
  <c r="S4" i="9"/>
  <c r="D5" i="11"/>
  <c r="D11" i="4"/>
  <c r="S11" i="9"/>
  <c r="D12" i="11"/>
  <c r="R2" i="9"/>
  <c r="C3" i="11"/>
  <c r="D2" i="4"/>
  <c r="S2" i="9"/>
  <c r="D3" i="11"/>
  <c r="E3"/>
  <c r="R3" i="9"/>
  <c r="C4" i="11"/>
  <c r="E4"/>
  <c r="R4" i="9"/>
  <c r="C5" i="11"/>
  <c r="E5"/>
  <c r="R7" i="9"/>
  <c r="C8" i="11"/>
  <c r="E8"/>
  <c r="R11" i="9"/>
  <c r="C12" i="11"/>
  <c r="E12"/>
  <c r="E14"/>
  <c r="M8" i="5"/>
  <c r="F3" i="11"/>
  <c r="F14"/>
  <c r="M6" i="5"/>
  <c r="M9"/>
  <c r="J4" i="11"/>
  <c r="J5"/>
  <c r="J8"/>
  <c r="J12"/>
  <c r="J3"/>
  <c r="J14"/>
  <c r="H14"/>
  <c r="K4"/>
  <c r="K5"/>
  <c r="K8"/>
  <c r="K12"/>
  <c r="K3"/>
  <c r="K14"/>
  <c r="C7" i="10"/>
  <c r="D7"/>
  <c r="P7"/>
  <c r="D14" i="11"/>
  <c r="C14"/>
  <c r="N19" i="9"/>
  <c r="D17" i="4"/>
  <c r="D15"/>
  <c r="D16"/>
  <c r="C18" i="10"/>
  <c r="D18"/>
  <c r="P18"/>
  <c r="C9"/>
  <c r="D9"/>
  <c r="P9"/>
  <c r="C8"/>
  <c r="D8"/>
  <c r="P8"/>
  <c r="C6"/>
  <c r="D6"/>
  <c r="P6"/>
  <c r="C5"/>
  <c r="D5"/>
  <c r="P5"/>
  <c r="O11" i="6"/>
  <c r="O4"/>
  <c r="O7"/>
  <c r="O3"/>
  <c r="H2" i="9"/>
  <c r="T3" i="6"/>
  <c r="O2"/>
  <c r="R18"/>
  <c r="B12" i="5"/>
  <c r="H3" i="9"/>
  <c r="H4"/>
  <c r="H11"/>
  <c r="N15"/>
  <c r="T7" i="6"/>
  <c r="T11"/>
  <c r="T4"/>
  <c r="H7" i="9"/>
  <c r="C11" i="10"/>
  <c r="D11"/>
  <c r="O11"/>
  <c r="C16"/>
  <c r="D16"/>
  <c r="O16"/>
  <c r="C13"/>
  <c r="D13"/>
  <c r="O13"/>
  <c r="R19" i="6"/>
  <c r="B4" i="5"/>
  <c r="C17" i="10"/>
  <c r="D17"/>
  <c r="O17"/>
  <c r="C14"/>
  <c r="D14"/>
  <c r="O14"/>
  <c r="C15"/>
  <c r="D15"/>
  <c r="O15"/>
  <c r="C12"/>
  <c r="D12"/>
  <c r="O12"/>
  <c r="B8" i="5"/>
  <c r="N17" i="9"/>
  <c r="O9" i="10"/>
  <c r="N9"/>
  <c r="M9"/>
  <c r="L9"/>
  <c r="K9"/>
  <c r="N18"/>
  <c r="M18"/>
  <c r="L18"/>
  <c r="O18"/>
  <c r="K18"/>
  <c r="L5"/>
  <c r="N5"/>
  <c r="O5"/>
  <c r="K5"/>
  <c r="M5"/>
  <c r="O6"/>
  <c r="L6"/>
  <c r="N6"/>
  <c r="M6"/>
  <c r="K6"/>
  <c r="C10"/>
  <c r="D10"/>
  <c r="N10"/>
  <c r="K10"/>
  <c r="M10"/>
  <c r="L10"/>
  <c r="O10"/>
  <c r="T2" i="6"/>
  <c r="R20"/>
  <c r="B16" i="5"/>
  <c r="N8" i="10"/>
  <c r="M8"/>
  <c r="L8"/>
  <c r="K8"/>
  <c r="O8"/>
  <c r="N7"/>
  <c r="K7"/>
  <c r="M7"/>
  <c r="O7"/>
  <c r="L7"/>
  <c r="C4"/>
  <c r="C19"/>
  <c r="D4"/>
  <c r="D19"/>
  <c r="L4"/>
  <c r="L19"/>
  <c r="P4"/>
  <c r="P19"/>
  <c r="K4"/>
  <c r="K19"/>
  <c r="O4"/>
  <c r="O19"/>
  <c r="N4"/>
  <c r="N19"/>
  <c r="M4"/>
  <c r="M19"/>
  <c r="N20" i="9"/>
  <c r="N18"/>
  <c r="N16"/>
</calcChain>
</file>

<file path=xl/comments1.xml><?xml version="1.0" encoding="utf-8"?>
<comments xmlns="http://schemas.openxmlformats.org/spreadsheetml/2006/main">
  <authors>
    <author>Autor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¿Eliminar alfinal esta columna?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M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Puede que esté mal la ecuacion
</t>
        </r>
      </text>
    </comment>
    <comment ref="T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dependerá del pienso que se emplé para cada categoría
</t>
        </r>
      </text>
    </comment>
    <comment ref="Q1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La fórmula cambia en función del pienso que consuma cada categoría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 negativo debido a la perdida de peso en este periodo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F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sé qué parámetro añadir, sólo GEI? También acidificación?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Ell amoniaco no sé si expresarlo como acidificación pasandolo a kg de SO2 eq o/y a eutrofización...</t>
        </r>
      </text>
    </comment>
  </commentList>
</comments>
</file>

<file path=xl/sharedStrings.xml><?xml version="1.0" encoding="utf-8"?>
<sst xmlns="http://schemas.openxmlformats.org/spreadsheetml/2006/main" count="306" uniqueCount="191">
  <si>
    <t>INPUTS</t>
  </si>
  <si>
    <t>Variable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</si>
  <si>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</si>
  <si>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</si>
  <si>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</si>
  <si>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</si>
  <si>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</si>
  <si>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</si>
  <si>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</si>
  <si>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</si>
  <si>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</si>
  <si>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</si>
  <si>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</si>
  <si>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Descripción</t>
  </si>
  <si>
    <t>Cebo (Fase 2)</t>
  </si>
  <si>
    <t>Cebo (Fase 1)</t>
  </si>
  <si>
    <t>Verracos</t>
  </si>
  <si>
    <t>Verracos de reposición</t>
  </si>
  <si>
    <t>Cerdas de reposición</t>
  </si>
  <si>
    <t>Animales vivos (Total)</t>
  </si>
  <si>
    <t>En cebo</t>
  </si>
  <si>
    <t>Adultos</t>
  </si>
  <si>
    <t>Producción de carne (kg)</t>
  </si>
  <si>
    <t>Rendimiento canal (%)</t>
  </si>
  <si>
    <t>Tasa de reposición (%)</t>
  </si>
  <si>
    <t>Ratio verraco/cerda (%)</t>
  </si>
  <si>
    <t>Peso verraco adulto (kg)</t>
  </si>
  <si>
    <t>Lechones/cerda/año</t>
  </si>
  <si>
    <t>Peso canal (kg/animal)</t>
  </si>
  <si>
    <t>Peso al nacer (kg)</t>
  </si>
  <si>
    <t>Edad al destete (días)</t>
  </si>
  <si>
    <t>Peso al destete (kg)</t>
  </si>
  <si>
    <t>Mortalidad nacimiento-destete (%)</t>
  </si>
  <si>
    <t>Mortalidad en transición (%)</t>
  </si>
  <si>
    <t>Tª en la granja (ºC)</t>
  </si>
  <si>
    <t>Código</t>
  </si>
  <si>
    <t>kg</t>
  </si>
  <si>
    <t>Tamaño camada (lechones nacidos vivos/parto)</t>
  </si>
  <si>
    <t>Maíz</t>
  </si>
  <si>
    <t>Cebada</t>
  </si>
  <si>
    <t>Salvado de trigo</t>
  </si>
  <si>
    <t>Carbonato cálcico</t>
  </si>
  <si>
    <t>Fosfato bicálcico</t>
  </si>
  <si>
    <t>Corrector vit.-olig.</t>
  </si>
  <si>
    <t>Total (100%)</t>
  </si>
  <si>
    <t>Total</t>
  </si>
  <si>
    <t>Coste del pienso (€)</t>
  </si>
  <si>
    <t>Materia Prima</t>
  </si>
  <si>
    <t>Reproductora en 1ª gestación</t>
  </si>
  <si>
    <t>Reproductora en ≥ 2ª gestación</t>
  </si>
  <si>
    <t>Reproductora en ≥ 2ª lactación</t>
  </si>
  <si>
    <t>Reproductora en 1ª lactación</t>
  </si>
  <si>
    <t>Reproductora en espera de cubrición (1ª vez)</t>
  </si>
  <si>
    <t>Reproductora en espera de cubrición (≥ 2ª vez)</t>
  </si>
  <si>
    <t>Pienso: Cebo (Fase 1)</t>
  </si>
  <si>
    <t>Pienso: Cebo (Fase 2)</t>
  </si>
  <si>
    <t>Pienso: Gestación</t>
  </si>
  <si>
    <t>Pienso: Lactación</t>
  </si>
  <si>
    <t>Trigo</t>
  </si>
  <si>
    <t>Harina de girasol 28</t>
  </si>
  <si>
    <t>Harina de soja 44</t>
  </si>
  <si>
    <t>Sebo</t>
  </si>
  <si>
    <t>L-LISINA HCL</t>
  </si>
  <si>
    <t>DL-METIONINA</t>
  </si>
  <si>
    <t>L-TREONINA</t>
  </si>
  <si>
    <t>Cloruro sódico</t>
  </si>
  <si>
    <t>Bicarbonato sódico</t>
  </si>
  <si>
    <t>MJ</t>
  </si>
  <si>
    <t>Necesidades Energéticas</t>
  </si>
  <si>
    <t>€</t>
  </si>
  <si>
    <t>Fertilidad (%)</t>
  </si>
  <si>
    <t>Edad a la primera inseminación (días)</t>
  </si>
  <si>
    <t>Intervalo destete-cubrición fértil (días)</t>
  </si>
  <si>
    <t>Mortalidad en cebo (%)</t>
  </si>
  <si>
    <t>Ratio hembras primiparas/multiparas (%)</t>
  </si>
  <si>
    <t>Nº partos/año</t>
  </si>
  <si>
    <t>Fallos de gestación (%)</t>
  </si>
  <si>
    <t xml:space="preserve">Total </t>
  </si>
  <si>
    <t>Coste Pienso</t>
  </si>
  <si>
    <t>Peso cerda adulta (kg)</t>
  </si>
  <si>
    <t>Engorde GDP (kg/d)</t>
  </si>
  <si>
    <r>
      <t>N</t>
    </r>
    <r>
      <rPr>
        <b/>
        <i/>
        <vertAlign val="subscript"/>
        <sz val="12"/>
        <color theme="1"/>
        <rFont val="Calibri"/>
        <family val="2"/>
      </rPr>
      <t xml:space="preserve">retenido total </t>
    </r>
    <r>
      <rPr>
        <i/>
        <sz val="8"/>
        <color theme="1"/>
        <rFont val="Calibri"/>
        <family val="2"/>
      </rPr>
      <t>(kg)</t>
    </r>
  </si>
  <si>
    <r>
      <t>N</t>
    </r>
    <r>
      <rPr>
        <b/>
        <i/>
        <vertAlign val="subscript"/>
        <sz val="12"/>
        <color theme="1"/>
        <rFont val="Calibri"/>
        <family val="2"/>
      </rPr>
      <t xml:space="preserve">ingerido total </t>
    </r>
    <r>
      <rPr>
        <i/>
        <sz val="8"/>
        <color theme="1"/>
        <rFont val="Calibri"/>
        <family val="2"/>
      </rPr>
      <t>(kg)</t>
    </r>
  </si>
  <si>
    <r>
      <t>N</t>
    </r>
    <r>
      <rPr>
        <b/>
        <i/>
        <vertAlign val="subscript"/>
        <sz val="12"/>
        <color theme="1"/>
        <rFont val="Calibri"/>
        <family val="2"/>
      </rPr>
      <t xml:space="preserve">ingerido </t>
    </r>
    <r>
      <rPr>
        <i/>
        <sz val="8"/>
        <color theme="1"/>
        <rFont val="Calibri"/>
        <family val="2"/>
      </rPr>
      <t>(kg/día)</t>
    </r>
  </si>
  <si>
    <r>
      <t>N</t>
    </r>
    <r>
      <rPr>
        <b/>
        <i/>
        <vertAlign val="subscript"/>
        <sz val="12"/>
        <color theme="1"/>
        <rFont val="Calibri"/>
        <family val="2"/>
      </rPr>
      <t>excretado</t>
    </r>
    <r>
      <rPr>
        <b/>
        <i/>
        <sz val="12"/>
        <color theme="1"/>
        <rFont val="Calibri"/>
        <family val="2"/>
      </rPr>
      <t xml:space="preserve"> </t>
    </r>
    <r>
      <rPr>
        <i/>
        <sz val="8"/>
        <color theme="1"/>
        <rFont val="Calibri"/>
        <family val="2"/>
      </rPr>
      <t>(kg/día/animal)</t>
    </r>
  </si>
  <si>
    <r>
      <t>N</t>
    </r>
    <r>
      <rPr>
        <b/>
        <i/>
        <vertAlign val="subscript"/>
        <sz val="12"/>
        <color theme="1"/>
        <rFont val="Calibri"/>
        <family val="2"/>
      </rPr>
      <t xml:space="preserve">gestación </t>
    </r>
    <r>
      <rPr>
        <i/>
        <sz val="8"/>
        <color theme="1"/>
        <rFont val="Calibri"/>
        <family val="2"/>
      </rPr>
      <t>(kg/día)</t>
    </r>
  </si>
  <si>
    <r>
      <t>N</t>
    </r>
    <r>
      <rPr>
        <b/>
        <i/>
        <vertAlign val="subscript"/>
        <sz val="12"/>
        <color theme="1"/>
        <rFont val="Calibri"/>
        <family val="2"/>
      </rPr>
      <t>lactación</t>
    </r>
    <r>
      <rPr>
        <b/>
        <i/>
        <sz val="12"/>
        <color theme="1"/>
        <rFont val="Calibri"/>
        <family val="2"/>
      </rPr>
      <t xml:space="preserve"> </t>
    </r>
    <r>
      <rPr>
        <i/>
        <sz val="8"/>
        <color theme="1"/>
        <rFont val="Calibri"/>
        <family val="2"/>
      </rPr>
      <t>(kg/día)</t>
    </r>
  </si>
  <si>
    <r>
      <t>N</t>
    </r>
    <r>
      <rPr>
        <b/>
        <i/>
        <vertAlign val="subscript"/>
        <sz val="12"/>
        <color theme="1"/>
        <rFont val="Calibri"/>
        <family val="2"/>
      </rPr>
      <t xml:space="preserve">crecimiento </t>
    </r>
    <r>
      <rPr>
        <i/>
        <sz val="8"/>
        <color theme="1"/>
        <rFont val="Calibri"/>
        <family val="2"/>
      </rPr>
      <t>(kg/día)</t>
    </r>
  </si>
  <si>
    <r>
      <t>N</t>
    </r>
    <r>
      <rPr>
        <b/>
        <i/>
        <vertAlign val="subscript"/>
        <sz val="12"/>
        <color theme="1"/>
        <rFont val="Calibri"/>
        <family val="2"/>
      </rPr>
      <t xml:space="preserve">retenido </t>
    </r>
    <r>
      <rPr>
        <i/>
        <sz val="8"/>
        <color theme="1"/>
        <rFont val="Calibri"/>
        <family val="2"/>
      </rPr>
      <t>(kg/día)</t>
    </r>
  </si>
  <si>
    <r>
      <t xml:space="preserve">Peso inicial </t>
    </r>
    <r>
      <rPr>
        <i/>
        <sz val="8"/>
        <color theme="1"/>
        <rFont val="Calibri"/>
        <family val="2"/>
        <scheme val="minor"/>
      </rPr>
      <t>(kg)</t>
    </r>
  </si>
  <si>
    <r>
      <t xml:space="preserve">Peso final </t>
    </r>
    <r>
      <rPr>
        <i/>
        <sz val="8"/>
        <color theme="1"/>
        <rFont val="Calibri"/>
        <family val="2"/>
        <scheme val="minor"/>
      </rPr>
      <t>(kg)</t>
    </r>
  </si>
  <si>
    <r>
      <t xml:space="preserve">Peso medio </t>
    </r>
    <r>
      <rPr>
        <i/>
        <sz val="8"/>
        <color theme="1"/>
        <rFont val="Calibri"/>
        <family val="2"/>
        <scheme val="minor"/>
      </rPr>
      <t>(kg)</t>
    </r>
  </si>
  <si>
    <r>
      <t xml:space="preserve">Duración del periodo </t>
    </r>
    <r>
      <rPr>
        <i/>
        <sz val="8"/>
        <color theme="1"/>
        <rFont val="Calibri"/>
        <family val="2"/>
        <scheme val="minor"/>
      </rPr>
      <t>(días)</t>
    </r>
  </si>
  <si>
    <r>
      <t xml:space="preserve">Tª crítica </t>
    </r>
    <r>
      <rPr>
        <i/>
        <sz val="8"/>
        <color theme="1"/>
        <rFont val="Calibri"/>
        <family val="2"/>
        <scheme val="minor"/>
      </rPr>
      <t>(</t>
    </r>
    <r>
      <rPr>
        <i/>
        <sz val="8"/>
        <color theme="1"/>
        <rFont val="Times New Roman"/>
        <family val="1"/>
      </rPr>
      <t>º</t>
    </r>
    <r>
      <rPr>
        <i/>
        <sz val="8"/>
        <color theme="1"/>
        <rFont val="Calibri"/>
        <family val="2"/>
        <scheme val="minor"/>
      </rPr>
      <t>C)</t>
    </r>
  </si>
  <si>
    <r>
      <t xml:space="preserve">Coste pienso </t>
    </r>
    <r>
      <rPr>
        <i/>
        <sz val="8"/>
        <color theme="1"/>
        <rFont val="Calibri"/>
        <family val="2"/>
        <scheme val="minor"/>
      </rPr>
      <t>(€/año)</t>
    </r>
  </si>
  <si>
    <r>
      <t>EM</t>
    </r>
    <r>
      <rPr>
        <b/>
        <i/>
        <vertAlign val="subscript"/>
        <sz val="11"/>
        <color theme="1"/>
        <rFont val="Calibri"/>
        <family val="2"/>
        <scheme val="minor"/>
      </rPr>
      <t xml:space="preserve">t </t>
    </r>
    <r>
      <rPr>
        <i/>
        <sz val="8"/>
        <color theme="1"/>
        <rFont val="Calibri"/>
        <family val="2"/>
        <scheme val="minor"/>
      </rPr>
      <t>(MJ/día)</t>
    </r>
  </si>
  <si>
    <r>
      <t>EM</t>
    </r>
    <r>
      <rPr>
        <b/>
        <i/>
        <vertAlign val="subscript"/>
        <sz val="11"/>
        <color theme="1"/>
        <rFont val="Calibri"/>
        <family val="2"/>
        <scheme val="minor"/>
      </rPr>
      <t xml:space="preserve">c </t>
    </r>
    <r>
      <rPr>
        <i/>
        <sz val="8"/>
        <color theme="1"/>
        <rFont val="Calibri"/>
        <family val="2"/>
        <scheme val="minor"/>
      </rPr>
      <t>(MJ/día)</t>
    </r>
  </si>
  <si>
    <r>
      <t>EM</t>
    </r>
    <r>
      <rPr>
        <b/>
        <i/>
        <vertAlign val="subscript"/>
        <sz val="11"/>
        <color theme="1"/>
        <rFont val="Calibri"/>
        <family val="2"/>
        <scheme val="minor"/>
      </rPr>
      <t xml:space="preserve">l </t>
    </r>
    <r>
      <rPr>
        <i/>
        <sz val="8"/>
        <color theme="1"/>
        <rFont val="Calibri"/>
        <family val="2"/>
        <scheme val="minor"/>
      </rPr>
      <t>(MJ/día)</t>
    </r>
  </si>
  <si>
    <r>
      <t>EM</t>
    </r>
    <r>
      <rPr>
        <b/>
        <i/>
        <vertAlign val="subscript"/>
        <sz val="11"/>
        <color theme="1"/>
        <rFont val="Calibri"/>
        <family val="2"/>
        <scheme val="minor"/>
      </rPr>
      <t>g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(MJ/día)</t>
    </r>
  </si>
  <si>
    <r>
      <t>EM</t>
    </r>
    <r>
      <rPr>
        <b/>
        <i/>
        <vertAlign val="subscript"/>
        <sz val="11"/>
        <color theme="1"/>
        <rFont val="Calibri"/>
        <family val="2"/>
        <scheme val="minor"/>
      </rPr>
      <t xml:space="preserve">m </t>
    </r>
    <r>
      <rPr>
        <i/>
        <sz val="8"/>
        <color theme="1"/>
        <rFont val="Calibri"/>
        <family val="2"/>
        <scheme val="minor"/>
      </rPr>
      <t>(MJ/día)</t>
    </r>
  </si>
  <si>
    <r>
      <t>EM</t>
    </r>
    <r>
      <rPr>
        <b/>
        <i/>
        <vertAlign val="subscript"/>
        <sz val="11"/>
        <color theme="1"/>
        <rFont val="Calibri"/>
        <family val="2"/>
        <scheme val="minor"/>
      </rPr>
      <t>total diaria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(MJ/día)</t>
    </r>
  </si>
  <si>
    <r>
      <t>EM</t>
    </r>
    <r>
      <rPr>
        <b/>
        <i/>
        <vertAlign val="subscript"/>
        <sz val="11"/>
        <color theme="1"/>
        <rFont val="Calibri"/>
        <family val="2"/>
        <scheme val="minor"/>
      </rPr>
      <t xml:space="preserve">total anual </t>
    </r>
    <r>
      <rPr>
        <i/>
        <sz val="8"/>
        <color theme="1"/>
        <rFont val="Calibri"/>
        <family val="2"/>
        <scheme val="minor"/>
      </rPr>
      <t>(MJ/año)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</si>
  <si>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pienso</t>
    </r>
    <r>
      <rPr>
        <b/>
        <i/>
        <sz val="11"/>
        <color theme="1"/>
        <rFont val="Calibri"/>
        <family val="2"/>
        <scheme val="minor"/>
      </rPr>
      <t xml:space="preserve">                            </t>
    </r>
    <r>
      <rPr>
        <i/>
        <sz val="8"/>
        <color theme="1"/>
        <rFont val="Calibri"/>
        <family val="2"/>
        <scheme val="minor"/>
      </rPr>
      <t>(kg DM/día/animal)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</si>
  <si>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 xml:space="preserve">pienso anual </t>
    </r>
    <r>
      <rPr>
        <b/>
        <i/>
        <sz val="11"/>
        <color theme="1"/>
        <rFont val="Calibri"/>
        <family val="2"/>
        <scheme val="minor"/>
      </rPr>
      <t xml:space="preserve">   </t>
    </r>
    <r>
      <rPr>
        <i/>
        <sz val="8"/>
        <color theme="1"/>
        <rFont val="Calibri"/>
        <family val="2"/>
        <scheme val="minor"/>
      </rPr>
      <t>(kg DM/año)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</si>
  <si>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 xml:space="preserve">pienso explotación  </t>
    </r>
    <r>
      <rPr>
        <i/>
        <sz val="8"/>
        <color theme="1"/>
        <rFont val="Calibri"/>
        <family val="2"/>
        <scheme val="minor"/>
      </rPr>
      <t>(kg DM/año)</t>
    </r>
  </si>
  <si>
    <r>
      <t>EM</t>
    </r>
    <r>
      <rPr>
        <b/>
        <i/>
        <vertAlign val="subscript"/>
        <sz val="11"/>
        <color theme="1"/>
        <rFont val="Calibri"/>
        <family val="2"/>
        <scheme val="minor"/>
      </rPr>
      <t>explotación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(MJ)</t>
    </r>
  </si>
  <si>
    <r>
      <rPr>
        <b/>
        <i/>
        <sz val="11"/>
        <color theme="1"/>
        <rFont val="Calibri"/>
        <family val="2"/>
        <scheme val="minor"/>
      </rPr>
      <t>SV</t>
    </r>
    <r>
      <rPr>
        <b/>
        <i/>
        <vertAlign val="subscript"/>
        <sz val="11"/>
        <color theme="1"/>
        <rFont val="Calibri"/>
        <family val="2"/>
        <scheme val="minor"/>
      </rPr>
      <t>explotación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(kg/año)</t>
    </r>
  </si>
  <si>
    <r>
      <t xml:space="preserve">EM </t>
    </r>
    <r>
      <rPr>
        <i/>
        <sz val="8"/>
        <color theme="1"/>
        <rFont val="Calibri"/>
        <family val="2"/>
        <scheme val="minor"/>
      </rPr>
      <t>(MJ/kg)</t>
    </r>
  </si>
  <si>
    <r>
      <t xml:space="preserve">PB </t>
    </r>
    <r>
      <rPr>
        <i/>
        <sz val="8"/>
        <color theme="1"/>
        <rFont val="Calibri"/>
        <family val="2"/>
        <scheme val="minor"/>
      </rPr>
      <t>(%)</t>
    </r>
  </si>
  <si>
    <r>
      <t xml:space="preserve">PB    </t>
    </r>
    <r>
      <rPr>
        <i/>
        <sz val="8"/>
        <color theme="1"/>
        <rFont val="Calibri"/>
        <family val="2"/>
        <scheme val="minor"/>
      </rPr>
      <t>(%)</t>
    </r>
  </si>
  <si>
    <r>
      <t xml:space="preserve">Humedad </t>
    </r>
    <r>
      <rPr>
        <i/>
        <sz val="8"/>
        <color theme="1"/>
        <rFont val="Calibri"/>
        <family val="2"/>
        <scheme val="minor"/>
      </rPr>
      <t>(%)</t>
    </r>
  </si>
  <si>
    <r>
      <t xml:space="preserve">Precio </t>
    </r>
    <r>
      <rPr>
        <i/>
        <sz val="8"/>
        <color theme="1"/>
        <rFont val="Calibri"/>
        <family val="2"/>
        <scheme val="minor"/>
      </rPr>
      <t>(€/kg)</t>
    </r>
  </si>
  <si>
    <r>
      <t xml:space="preserve">Composición </t>
    </r>
    <r>
      <rPr>
        <i/>
        <sz val="8"/>
        <color theme="1"/>
        <rFont val="Calibri"/>
        <family val="2"/>
        <scheme val="minor"/>
      </rPr>
      <t>(%)</t>
    </r>
  </si>
  <si>
    <t>TOTAL</t>
  </si>
  <si>
    <t>Otros</t>
  </si>
  <si>
    <r>
      <t>CO</t>
    </r>
    <r>
      <rPr>
        <b/>
        <i/>
        <vertAlign val="subscript"/>
        <sz val="11"/>
        <color theme="1"/>
        <rFont val="Calibri"/>
        <family val="2"/>
        <scheme val="minor"/>
      </rPr>
      <t>2</t>
    </r>
  </si>
  <si>
    <r>
      <t>CH</t>
    </r>
    <r>
      <rPr>
        <b/>
        <i/>
        <vertAlign val="subscript"/>
        <sz val="11"/>
        <color theme="1"/>
        <rFont val="Calibri"/>
        <family val="2"/>
        <scheme val="minor"/>
      </rPr>
      <t>4</t>
    </r>
  </si>
  <si>
    <r>
      <t>N</t>
    </r>
    <r>
      <rPr>
        <b/>
        <i/>
        <vertAlign val="sub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>O</t>
    </r>
  </si>
  <si>
    <t>-</t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</si>
  <si>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 xml:space="preserve">ingrediente total </t>
    </r>
    <r>
      <rPr>
        <i/>
        <sz val="8"/>
        <color theme="1"/>
        <rFont val="Calibri"/>
        <family val="2"/>
        <scheme val="minor"/>
      </rPr>
      <t>(kg/año)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</si>
  <si>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ingrediente total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(kg MS/año)</t>
    </r>
  </si>
  <si>
    <r>
      <t>N</t>
    </r>
    <r>
      <rPr>
        <b/>
        <i/>
        <vertAlign val="subscript"/>
        <sz val="11"/>
        <color theme="1"/>
        <rFont val="Calibri"/>
        <family val="2"/>
        <scheme val="minor"/>
      </rPr>
      <t xml:space="preserve">excretado explotación </t>
    </r>
    <r>
      <rPr>
        <i/>
        <sz val="8"/>
        <color theme="1"/>
        <rFont val="Calibri"/>
        <family val="2"/>
        <scheme val="minor"/>
      </rPr>
      <t>(kg/año)</t>
    </r>
  </si>
  <si>
    <r>
      <t>N</t>
    </r>
    <r>
      <rPr>
        <b/>
        <i/>
        <vertAlign val="subscript"/>
        <sz val="12"/>
        <color theme="1"/>
        <rFont val="Calibri"/>
        <family val="2"/>
      </rPr>
      <t xml:space="preserve">excretado total </t>
    </r>
    <r>
      <rPr>
        <i/>
        <sz val="8"/>
        <color theme="1"/>
        <rFont val="Calibri"/>
        <family val="2"/>
      </rPr>
      <t>(kg)</t>
    </r>
  </si>
  <si>
    <r>
      <rPr>
        <b/>
        <i/>
        <sz val="11"/>
        <color theme="1"/>
        <rFont val="Calibri"/>
        <family val="2"/>
        <scheme val="minor"/>
      </rPr>
      <t>NH</t>
    </r>
    <r>
      <rPr>
        <b/>
        <i/>
        <vertAlign val="subscript"/>
        <sz val="11"/>
        <color theme="1"/>
        <rFont val="Calibri"/>
        <family val="2"/>
        <scheme val="minor"/>
      </rPr>
      <t>3 alojamiento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(kg)</t>
    </r>
  </si>
  <si>
    <r>
      <rPr>
        <b/>
        <i/>
        <sz val="11"/>
        <color theme="1"/>
        <rFont val="Calibri"/>
        <family val="2"/>
        <scheme val="minor"/>
      </rPr>
      <t>N</t>
    </r>
    <r>
      <rPr>
        <b/>
        <i/>
        <vertAlign val="subscript"/>
        <sz val="11"/>
        <color theme="1"/>
        <rFont val="Calibri"/>
        <family val="2"/>
        <scheme val="minor"/>
      </rPr>
      <t>disponible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(kg)</t>
    </r>
  </si>
  <si>
    <r>
      <rPr>
        <b/>
        <i/>
        <sz val="11"/>
        <color theme="1"/>
        <rFont val="Calibri"/>
        <family val="2"/>
        <scheme val="minor"/>
      </rPr>
      <t>N</t>
    </r>
    <r>
      <rPr>
        <b/>
        <i/>
        <vertAlign val="subscript"/>
        <sz val="11"/>
        <color theme="1"/>
        <rFont val="Calibri"/>
        <family val="2"/>
        <scheme val="minor"/>
      </rPr>
      <t>alojamiento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(kg)</t>
    </r>
  </si>
  <si>
    <r>
      <t xml:space="preserve">EB </t>
    </r>
    <r>
      <rPr>
        <i/>
        <sz val="8"/>
        <color theme="1"/>
        <rFont val="Calibri"/>
        <family val="2"/>
        <scheme val="minor"/>
      </rPr>
      <t>(MJ/kg MS)</t>
    </r>
  </si>
  <si>
    <r>
      <t xml:space="preserve">EB    </t>
    </r>
    <r>
      <rPr>
        <i/>
        <sz val="8"/>
        <color theme="1"/>
        <rFont val="Calibri"/>
        <family val="2"/>
        <scheme val="minor"/>
      </rPr>
      <t>(MJ/kg MS)</t>
    </r>
  </si>
  <si>
    <r>
      <t>EB</t>
    </r>
    <r>
      <rPr>
        <i/>
        <sz val="8"/>
        <color theme="1"/>
        <rFont val="Calibri"/>
        <family val="2"/>
        <scheme val="minor"/>
      </rPr>
      <t xml:space="preserve"> (MJ/kg MS)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</si>
  <si>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 xml:space="preserve">pienso MS anual </t>
    </r>
    <r>
      <rPr>
        <b/>
        <i/>
        <sz val="11"/>
        <color theme="1"/>
        <rFont val="Calibri"/>
        <family val="2"/>
        <scheme val="minor"/>
      </rPr>
      <t xml:space="preserve">   </t>
    </r>
    <r>
      <rPr>
        <i/>
        <sz val="8"/>
        <color theme="1"/>
        <rFont val="Calibri"/>
        <family val="2"/>
        <scheme val="minor"/>
      </rPr>
      <t>(kg MS/año)</t>
    </r>
  </si>
  <si>
    <r>
      <t>Humedad</t>
    </r>
    <r>
      <rPr>
        <i/>
        <sz val="8"/>
        <color theme="1"/>
        <rFont val="Calibri"/>
        <family val="2"/>
        <scheme val="minor"/>
      </rPr>
      <t xml:space="preserve"> (%)</t>
    </r>
  </si>
  <si>
    <r>
      <t>EB</t>
    </r>
    <r>
      <rPr>
        <b/>
        <i/>
        <vertAlign val="subscript"/>
        <sz val="11"/>
        <color theme="1"/>
        <rFont val="Calibri"/>
        <family val="2"/>
        <scheme val="minor"/>
      </rPr>
      <t xml:space="preserve">total anual </t>
    </r>
    <r>
      <rPr>
        <i/>
        <sz val="8"/>
        <color theme="1"/>
        <rFont val="Calibri"/>
        <family val="2"/>
        <scheme val="minor"/>
      </rPr>
      <t>(MJ/año)</t>
    </r>
  </si>
  <si>
    <r>
      <rPr>
        <b/>
        <i/>
        <sz val="11"/>
        <color theme="1"/>
        <rFont val="Calibri"/>
        <family val="2"/>
        <scheme val="minor"/>
      </rPr>
      <t>NH</t>
    </r>
    <r>
      <rPr>
        <b/>
        <i/>
        <vertAlign val="subscript"/>
        <sz val="11"/>
        <color theme="1"/>
        <rFont val="Calibri"/>
        <family val="2"/>
        <scheme val="minor"/>
      </rPr>
      <t>3 almacenamiento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(kg)</t>
    </r>
  </si>
  <si>
    <r>
      <rPr>
        <b/>
        <i/>
        <sz val="11"/>
        <color theme="1"/>
        <rFont val="Calibri"/>
        <family val="2"/>
        <scheme val="minor"/>
      </rPr>
      <t>CH</t>
    </r>
    <r>
      <rPr>
        <b/>
        <i/>
        <vertAlign val="subscript"/>
        <sz val="11"/>
        <color theme="1"/>
        <rFont val="Calibri"/>
        <family val="2"/>
        <scheme val="minor"/>
      </rPr>
      <t>4 fermentació</t>
    </r>
    <r>
      <rPr>
        <i/>
        <vertAlign val="subscript"/>
        <sz val="11"/>
        <color theme="1"/>
        <rFont val="Calibri"/>
        <family val="2"/>
        <scheme val="minor"/>
      </rPr>
      <t>n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(kg CH</t>
    </r>
    <r>
      <rPr>
        <i/>
        <vertAlign val="subscript"/>
        <sz val="8"/>
        <color theme="1"/>
        <rFont val="Calibri"/>
        <family val="2"/>
        <scheme val="minor"/>
      </rPr>
      <t>4</t>
    </r>
    <r>
      <rPr>
        <i/>
        <sz val="8"/>
        <color theme="1"/>
        <rFont val="Calibri"/>
        <family val="2"/>
        <scheme val="minor"/>
      </rPr>
      <t>/año)</t>
    </r>
  </si>
  <si>
    <r>
      <rPr>
        <b/>
        <i/>
        <sz val="11"/>
        <color theme="1"/>
        <rFont val="Calibri"/>
        <family val="2"/>
        <scheme val="minor"/>
      </rPr>
      <t>CH</t>
    </r>
    <r>
      <rPr>
        <b/>
        <i/>
        <vertAlign val="subscript"/>
        <sz val="11"/>
        <color theme="1"/>
        <rFont val="Calibri"/>
        <family val="2"/>
        <scheme val="minor"/>
      </rPr>
      <t>4 estiércol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(kg CH</t>
    </r>
    <r>
      <rPr>
        <i/>
        <vertAlign val="subscript"/>
        <sz val="8"/>
        <color theme="1"/>
        <rFont val="Calibri"/>
        <family val="2"/>
        <scheme val="minor"/>
      </rPr>
      <t>4</t>
    </r>
    <r>
      <rPr>
        <i/>
        <sz val="8"/>
        <color theme="1"/>
        <rFont val="Calibri"/>
        <family val="2"/>
        <scheme val="minor"/>
      </rPr>
      <t>/año)</t>
    </r>
  </si>
  <si>
    <r>
      <rPr>
        <b/>
        <i/>
        <sz val="11"/>
        <color theme="1"/>
        <rFont val="Calibri"/>
        <family val="2"/>
        <scheme val="minor"/>
      </rPr>
      <t>NH</t>
    </r>
    <r>
      <rPr>
        <b/>
        <i/>
        <vertAlign val="subscript"/>
        <sz val="11"/>
        <color theme="1"/>
        <rFont val="Calibri"/>
        <family val="2"/>
        <scheme val="minor"/>
      </rPr>
      <t>3 estiércol explotación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(kg/año)</t>
    </r>
  </si>
  <si>
    <r>
      <rPr>
        <b/>
        <i/>
        <sz val="11"/>
        <color theme="1"/>
        <rFont val="Calibri"/>
        <family val="2"/>
        <scheme val="minor"/>
      </rPr>
      <t>CH</t>
    </r>
    <r>
      <rPr>
        <b/>
        <i/>
        <vertAlign val="subscript"/>
        <sz val="11"/>
        <color theme="1"/>
        <rFont val="Calibri"/>
        <family val="2"/>
        <scheme val="minor"/>
      </rPr>
      <t>4 estiércol explotación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(kg/año)</t>
    </r>
  </si>
  <si>
    <r>
      <rPr>
        <b/>
        <i/>
        <sz val="11"/>
        <color theme="1"/>
        <rFont val="Calibri"/>
        <family val="2"/>
        <scheme val="minor"/>
      </rPr>
      <t>CH</t>
    </r>
    <r>
      <rPr>
        <b/>
        <i/>
        <vertAlign val="subscript"/>
        <sz val="11"/>
        <color theme="1"/>
        <rFont val="Calibri"/>
        <family val="2"/>
        <scheme val="minor"/>
      </rPr>
      <t>4 fermentación explotación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(kg/año)</t>
    </r>
  </si>
  <si>
    <r>
      <t xml:space="preserve">SV             </t>
    </r>
    <r>
      <rPr>
        <i/>
        <sz val="8"/>
        <color theme="1"/>
        <rFont val="Calibri"/>
        <family val="2"/>
      </rPr>
      <t>(kg MS/año)</t>
    </r>
  </si>
  <si>
    <t>Asociadas a los piensos</t>
  </si>
  <si>
    <t>Gestión del estiércol</t>
  </si>
  <si>
    <r>
      <rPr>
        <b/>
        <i/>
        <sz val="11"/>
        <color theme="1"/>
        <rFont val="Calibri"/>
        <family val="2"/>
        <scheme val="minor"/>
      </rPr>
      <t>NH</t>
    </r>
    <r>
      <rPr>
        <b/>
        <i/>
        <vertAlign val="subscript"/>
        <sz val="11"/>
        <color theme="1"/>
        <rFont val="Calibri"/>
        <family val="2"/>
        <scheme val="minor"/>
      </rPr>
      <t>3 estiércol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(kg/año)</t>
    </r>
  </si>
  <si>
    <r>
      <rPr>
        <b/>
        <i/>
        <sz val="11"/>
        <color theme="1"/>
        <rFont val="Calibri"/>
        <family val="2"/>
        <scheme val="minor"/>
      </rPr>
      <t>NH</t>
    </r>
    <r>
      <rPr>
        <b/>
        <i/>
        <vertAlign val="subscript"/>
        <sz val="11"/>
        <color theme="1"/>
        <rFont val="Calibri"/>
        <family val="2"/>
        <scheme val="minor"/>
      </rPr>
      <t xml:space="preserve">3 estiércol </t>
    </r>
    <r>
      <rPr>
        <i/>
        <sz val="8"/>
        <color theme="1"/>
        <rFont val="Calibri"/>
        <family val="2"/>
        <scheme val="minor"/>
      </rPr>
      <t>(kg/año)</t>
    </r>
  </si>
  <si>
    <t>Fermentación entérica</t>
  </si>
  <si>
    <r>
      <t xml:space="preserve">EE    </t>
    </r>
    <r>
      <rPr>
        <i/>
        <sz val="8"/>
        <color theme="1"/>
        <rFont val="Calibri"/>
        <family val="2"/>
        <scheme val="minor"/>
      </rPr>
      <t>(%)</t>
    </r>
  </si>
  <si>
    <r>
      <t xml:space="preserve">Ce    </t>
    </r>
    <r>
      <rPr>
        <i/>
        <sz val="8"/>
        <color theme="1"/>
        <rFont val="Calibri"/>
        <family val="2"/>
        <scheme val="minor"/>
      </rPr>
      <t>(%)</t>
    </r>
  </si>
  <si>
    <r>
      <t xml:space="preserve">GMD </t>
    </r>
    <r>
      <rPr>
        <i/>
        <sz val="8"/>
        <color theme="1"/>
        <rFont val="Calibri"/>
        <family val="2"/>
        <scheme val="minor"/>
      </rPr>
      <t>(kg/día)</t>
    </r>
  </si>
  <si>
    <r>
      <rPr>
        <b/>
        <i/>
        <sz val="11"/>
        <color theme="1"/>
        <rFont val="Calibri"/>
        <family val="2"/>
        <scheme val="minor"/>
      </rPr>
      <t>N</t>
    </r>
    <r>
      <rPr>
        <b/>
        <i/>
        <vertAlign val="sub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>O</t>
    </r>
    <r>
      <rPr>
        <b/>
        <i/>
        <vertAlign val="subscript"/>
        <sz val="11"/>
        <color theme="1"/>
        <rFont val="Calibri"/>
        <family val="2"/>
        <scheme val="minor"/>
      </rPr>
      <t>estiércol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(kg N</t>
    </r>
    <r>
      <rPr>
        <i/>
        <vertAlign val="subscript"/>
        <sz val="8"/>
        <color theme="1"/>
        <rFont val="Calibri"/>
        <family val="2"/>
        <scheme val="minor"/>
      </rPr>
      <t>2</t>
    </r>
    <r>
      <rPr>
        <i/>
        <sz val="8"/>
        <color theme="1"/>
        <rFont val="Calibri"/>
        <family val="2"/>
        <scheme val="minor"/>
      </rPr>
      <t>0/año)</t>
    </r>
  </si>
  <si>
    <r>
      <t>NH</t>
    </r>
    <r>
      <rPr>
        <b/>
        <i/>
        <vertAlign val="subscript"/>
        <sz val="11"/>
        <color theme="1"/>
        <rFont val="Calibri"/>
        <family val="2"/>
        <scheme val="minor"/>
      </rPr>
      <t>3</t>
    </r>
    <r>
      <rPr>
        <b/>
        <i/>
        <sz val="11"/>
        <color theme="1"/>
        <rFont val="Calibri"/>
        <family val="2"/>
        <scheme val="minor"/>
      </rPr>
      <t xml:space="preserve">                  </t>
    </r>
    <r>
      <rPr>
        <i/>
        <sz val="8"/>
        <color theme="1"/>
        <rFont val="Calibri"/>
        <family val="2"/>
        <scheme val="minor"/>
      </rPr>
      <t>(g NH</t>
    </r>
    <r>
      <rPr>
        <i/>
        <vertAlign val="subscript"/>
        <sz val="8"/>
        <color theme="1"/>
        <rFont val="Calibri"/>
        <family val="2"/>
        <scheme val="minor"/>
      </rPr>
      <t>3</t>
    </r>
    <r>
      <rPr>
        <i/>
        <sz val="8"/>
        <color theme="1"/>
        <rFont val="Calibri"/>
        <family val="2"/>
        <scheme val="minor"/>
      </rPr>
      <t>/kg MS)</t>
    </r>
  </si>
  <si>
    <r>
      <t>NH</t>
    </r>
    <r>
      <rPr>
        <b/>
        <i/>
        <vertAlign val="subscript"/>
        <sz val="11"/>
        <color theme="1"/>
        <rFont val="Calibri"/>
        <family val="2"/>
        <scheme val="minor"/>
      </rPr>
      <t>3</t>
    </r>
    <r>
      <rPr>
        <b/>
        <i/>
        <sz val="11"/>
        <color theme="1"/>
        <rFont val="Calibri"/>
        <family val="2"/>
        <scheme val="minor"/>
      </rPr>
      <t xml:space="preserve">                </t>
    </r>
    <r>
      <rPr>
        <i/>
        <sz val="11"/>
        <color theme="1"/>
        <rFont val="Calibri"/>
        <family val="2"/>
        <scheme val="minor"/>
      </rPr>
      <t xml:space="preserve">  </t>
    </r>
    <r>
      <rPr>
        <i/>
        <sz val="8"/>
        <color theme="1"/>
        <rFont val="Calibri"/>
        <family val="2"/>
        <scheme val="minor"/>
      </rPr>
      <t>(kg NH</t>
    </r>
    <r>
      <rPr>
        <i/>
        <vertAlign val="subscript"/>
        <sz val="8"/>
        <color theme="1"/>
        <rFont val="Calibri"/>
        <family val="2"/>
        <scheme val="minor"/>
      </rPr>
      <t>3</t>
    </r>
    <r>
      <rPr>
        <i/>
        <sz val="8"/>
        <color theme="1"/>
        <rFont val="Calibri"/>
        <family val="2"/>
        <scheme val="minor"/>
      </rPr>
      <t>/kg MS)</t>
    </r>
  </si>
  <si>
    <r>
      <t xml:space="preserve">GEI                                                                                                                                      </t>
    </r>
    <r>
      <rPr>
        <i/>
        <sz val="8"/>
        <color theme="1"/>
        <rFont val="Calibri"/>
        <family val="2"/>
        <scheme val="minor"/>
      </rPr>
      <t>(kg CO</t>
    </r>
    <r>
      <rPr>
        <i/>
        <vertAlign val="subscript"/>
        <sz val="8"/>
        <color theme="1"/>
        <rFont val="Calibri"/>
        <family val="2"/>
        <scheme val="minor"/>
      </rPr>
      <t>2</t>
    </r>
    <r>
      <rPr>
        <i/>
        <sz val="8"/>
        <color theme="1"/>
        <rFont val="Calibri"/>
        <family val="2"/>
        <scheme val="minor"/>
      </rPr>
      <t xml:space="preserve"> eq/ año)</t>
    </r>
  </si>
  <si>
    <r>
      <t xml:space="preserve">GEI                                                                                                                                      </t>
    </r>
    <r>
      <rPr>
        <i/>
        <sz val="8"/>
        <color theme="1"/>
        <rFont val="Calibri"/>
        <family val="2"/>
        <scheme val="minor"/>
      </rPr>
      <t>(kg CO</t>
    </r>
    <r>
      <rPr>
        <i/>
        <vertAlign val="subscript"/>
        <sz val="8"/>
        <color theme="1"/>
        <rFont val="Calibri"/>
        <family val="2"/>
        <scheme val="minor"/>
      </rPr>
      <t xml:space="preserve">2 </t>
    </r>
    <r>
      <rPr>
        <i/>
        <sz val="8"/>
        <color theme="1"/>
        <rFont val="Calibri"/>
        <family val="2"/>
        <scheme val="minor"/>
      </rPr>
      <t>eq/ kg MS)</t>
    </r>
  </si>
  <si>
    <t>Plazas</t>
  </si>
  <si>
    <t>Número</t>
  </si>
  <si>
    <r>
      <rPr>
        <b/>
        <i/>
        <sz val="11"/>
        <color theme="1"/>
        <rFont val="Calibri"/>
        <family val="2"/>
        <scheme val="minor"/>
      </rPr>
      <t>N</t>
    </r>
    <r>
      <rPr>
        <b/>
        <i/>
        <vertAlign val="sub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>O</t>
    </r>
    <r>
      <rPr>
        <b/>
        <i/>
        <vertAlign val="subscript"/>
        <sz val="11"/>
        <color theme="1"/>
        <rFont val="Calibri"/>
        <family val="2"/>
        <scheme val="minor"/>
      </rPr>
      <t xml:space="preserve"> estiércol explotación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(kg/año)</t>
    </r>
  </si>
  <si>
    <r>
      <rPr>
        <b/>
        <i/>
        <sz val="11"/>
        <color theme="1"/>
        <rFont val="Calibri"/>
        <family val="2"/>
        <scheme val="minor"/>
      </rPr>
      <t>N</t>
    </r>
    <r>
      <rPr>
        <b/>
        <i/>
        <vertAlign val="sub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>O</t>
    </r>
    <r>
      <rPr>
        <b/>
        <i/>
        <vertAlign val="subscript"/>
        <sz val="11"/>
        <color theme="1"/>
        <rFont val="Calibri"/>
        <family val="2"/>
        <scheme val="minor"/>
      </rPr>
      <t>estiércol</t>
    </r>
    <r>
      <rPr>
        <i/>
        <vertAlign val="subscript"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(kg N</t>
    </r>
    <r>
      <rPr>
        <i/>
        <vertAlign val="subscript"/>
        <sz val="8"/>
        <color theme="1"/>
        <rFont val="Calibri"/>
        <family val="2"/>
        <scheme val="minor"/>
      </rPr>
      <t>2</t>
    </r>
    <r>
      <rPr>
        <i/>
        <sz val="8"/>
        <color theme="1"/>
        <rFont val="Calibri"/>
        <family val="2"/>
        <scheme val="minor"/>
      </rPr>
      <t>0/año)</t>
    </r>
  </si>
  <si>
    <r>
      <rPr>
        <b/>
        <i/>
        <sz val="11"/>
        <color theme="1"/>
        <rFont val="Calibri"/>
        <family val="2"/>
        <scheme val="minor"/>
      </rPr>
      <t>GEI</t>
    </r>
    <r>
      <rPr>
        <b/>
        <i/>
        <vertAlign val="subscript"/>
        <sz val="11"/>
        <color theme="1"/>
        <rFont val="Calibri"/>
        <family val="2"/>
        <scheme val="minor"/>
      </rPr>
      <t xml:space="preserve">estiércol  </t>
    </r>
    <r>
      <rPr>
        <b/>
        <i/>
        <sz val="11"/>
        <color theme="1"/>
        <rFont val="Calibri"/>
        <family val="2"/>
        <scheme val="minor"/>
      </rPr>
      <t xml:space="preserve">  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</t>
    </r>
    <r>
      <rPr>
        <i/>
        <sz val="8"/>
        <color theme="1"/>
        <rFont val="Calibri"/>
        <family val="2"/>
        <scheme val="minor"/>
      </rPr>
      <t>(kg CO</t>
    </r>
    <r>
      <rPr>
        <i/>
        <vertAlign val="subscript"/>
        <sz val="8"/>
        <color theme="1"/>
        <rFont val="Calibri"/>
        <family val="2"/>
        <scheme val="minor"/>
      </rPr>
      <t>2</t>
    </r>
    <r>
      <rPr>
        <i/>
        <sz val="8"/>
        <color theme="1"/>
        <rFont val="Calibri"/>
        <family val="2"/>
        <scheme val="minor"/>
      </rPr>
      <t xml:space="preserve"> eq/ año)</t>
    </r>
  </si>
  <si>
    <r>
      <rPr>
        <b/>
        <i/>
        <sz val="11"/>
        <color theme="1"/>
        <rFont val="Calibri"/>
        <family val="2"/>
        <scheme val="minor"/>
      </rPr>
      <t>GEI</t>
    </r>
    <r>
      <rPr>
        <b/>
        <i/>
        <vertAlign val="subscript"/>
        <sz val="11"/>
        <color theme="1"/>
        <rFont val="Calibri"/>
        <family val="2"/>
        <scheme val="minor"/>
      </rPr>
      <t>fermentación</t>
    </r>
    <r>
      <rPr>
        <b/>
        <i/>
        <sz val="11"/>
        <color theme="1"/>
        <rFont val="Calibri"/>
        <family val="2"/>
        <scheme val="minor"/>
      </rPr>
      <t xml:space="preserve">  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</t>
    </r>
    <r>
      <rPr>
        <i/>
        <sz val="8"/>
        <color theme="1"/>
        <rFont val="Calibri"/>
        <family val="2"/>
        <scheme val="minor"/>
      </rPr>
      <t>(kg CO</t>
    </r>
    <r>
      <rPr>
        <i/>
        <vertAlign val="subscript"/>
        <sz val="8"/>
        <color theme="1"/>
        <rFont val="Calibri"/>
        <family val="2"/>
        <scheme val="minor"/>
      </rPr>
      <t>2</t>
    </r>
    <r>
      <rPr>
        <i/>
        <sz val="8"/>
        <color theme="1"/>
        <rFont val="Calibri"/>
        <family val="2"/>
        <scheme val="minor"/>
      </rPr>
      <t xml:space="preserve"> eq/ año)</t>
    </r>
  </si>
  <si>
    <r>
      <t>GEI</t>
    </r>
    <r>
      <rPr>
        <b/>
        <i/>
        <vertAlign val="subscript"/>
        <sz val="11"/>
        <color theme="1"/>
        <rFont val="Calibri"/>
        <family val="2"/>
        <scheme val="minor"/>
      </rPr>
      <t>TOTAL</t>
    </r>
    <r>
      <rPr>
        <i/>
        <sz val="11"/>
        <color theme="1"/>
        <rFont val="Calibri"/>
        <family val="2"/>
        <scheme val="minor"/>
      </rPr>
      <t xml:space="preserve">               </t>
    </r>
    <r>
      <rPr>
        <i/>
        <sz val="8"/>
        <color theme="1"/>
        <rFont val="Calibri"/>
        <family val="2"/>
        <scheme val="minor"/>
      </rPr>
      <t>(kg CO2 eq/ año)</t>
    </r>
  </si>
  <si>
    <r>
      <t>NH</t>
    </r>
    <r>
      <rPr>
        <b/>
        <i/>
        <vertAlign val="subscript"/>
        <sz val="11"/>
        <color theme="1"/>
        <rFont val="Calibri"/>
        <family val="2"/>
        <scheme val="minor"/>
      </rPr>
      <t>3</t>
    </r>
    <r>
      <rPr>
        <b/>
        <i/>
        <sz val="11"/>
        <color theme="1"/>
        <rFont val="Calibri"/>
        <family val="2"/>
        <scheme val="minor"/>
      </rPr>
      <t xml:space="preserve">             </t>
    </r>
    <r>
      <rPr>
        <i/>
        <sz val="8"/>
        <color theme="1"/>
        <rFont val="Calibri"/>
        <family val="2"/>
        <scheme val="minor"/>
      </rPr>
      <t>(g NH</t>
    </r>
    <r>
      <rPr>
        <i/>
        <vertAlign val="subscript"/>
        <sz val="8"/>
        <color theme="1"/>
        <rFont val="Calibri"/>
        <family val="2"/>
        <scheme val="minor"/>
      </rPr>
      <t>3</t>
    </r>
    <r>
      <rPr>
        <i/>
        <sz val="8"/>
        <color theme="1"/>
        <rFont val="Calibri"/>
        <family val="2"/>
        <scheme val="minor"/>
      </rPr>
      <t>/kg MS)</t>
    </r>
  </si>
  <si>
    <r>
      <t xml:space="preserve">GEI                       </t>
    </r>
    <r>
      <rPr>
        <i/>
        <sz val="8"/>
        <color theme="1"/>
        <rFont val="Calibri"/>
        <family val="2"/>
        <scheme val="minor"/>
      </rPr>
      <t>(kg CO</t>
    </r>
    <r>
      <rPr>
        <i/>
        <vertAlign val="subscript"/>
        <sz val="8"/>
        <color theme="1"/>
        <rFont val="Calibri"/>
        <family val="2"/>
        <scheme val="minor"/>
      </rPr>
      <t>2</t>
    </r>
    <r>
      <rPr>
        <i/>
        <sz val="8"/>
        <color theme="1"/>
        <rFont val="Calibri"/>
        <family val="2"/>
        <scheme val="minor"/>
      </rPr>
      <t xml:space="preserve"> eq/ kg MS)</t>
    </r>
  </si>
  <si>
    <r>
      <t>NH</t>
    </r>
    <r>
      <rPr>
        <b/>
        <i/>
        <vertAlign val="subscript"/>
        <sz val="11"/>
        <color theme="1"/>
        <rFont val="Calibri"/>
        <family val="2"/>
        <scheme val="minor"/>
      </rPr>
      <t>3</t>
    </r>
    <r>
      <rPr>
        <i/>
        <sz val="8"/>
        <color theme="1"/>
        <rFont val="Calibri"/>
        <family val="2"/>
        <scheme val="minor"/>
      </rPr>
      <t xml:space="preserve"> (g NH</t>
    </r>
    <r>
      <rPr>
        <i/>
        <vertAlign val="subscript"/>
        <sz val="8"/>
        <color theme="1"/>
        <rFont val="Calibri"/>
        <family val="2"/>
        <scheme val="minor"/>
      </rPr>
      <t>3</t>
    </r>
    <r>
      <rPr>
        <i/>
        <sz val="8"/>
        <color theme="1"/>
        <rFont val="Calibri"/>
        <family val="2"/>
        <scheme val="minor"/>
      </rPr>
      <t>/kg MS)</t>
    </r>
  </si>
  <si>
    <r>
      <t>GEI</t>
    </r>
    <r>
      <rPr>
        <i/>
        <sz val="8"/>
        <color theme="1"/>
        <rFont val="Calibri"/>
        <family val="2"/>
        <scheme val="minor"/>
      </rPr>
      <t xml:space="preserve"> (kg CO</t>
    </r>
    <r>
      <rPr>
        <i/>
        <vertAlign val="subscript"/>
        <sz val="8"/>
        <color theme="1"/>
        <rFont val="Calibri"/>
        <family val="2"/>
        <scheme val="minor"/>
      </rPr>
      <t>2</t>
    </r>
    <r>
      <rPr>
        <i/>
        <sz val="8"/>
        <color theme="1"/>
        <rFont val="Calibri"/>
        <family val="2"/>
        <scheme val="minor"/>
      </rPr>
      <t xml:space="preserve"> eq/ kg MS)</t>
    </r>
  </si>
  <si>
    <r>
      <t>Composición</t>
    </r>
    <r>
      <rPr>
        <i/>
        <sz val="8"/>
        <color theme="1"/>
        <rFont val="Calibri"/>
        <family val="2"/>
        <scheme val="minor"/>
      </rPr>
      <t xml:space="preserve"> (%)</t>
    </r>
  </si>
  <si>
    <r>
      <t>NH</t>
    </r>
    <r>
      <rPr>
        <b/>
        <i/>
        <vertAlign val="subscript"/>
        <sz val="11"/>
        <color theme="1"/>
        <rFont val="Calibri"/>
        <family val="2"/>
        <scheme val="minor"/>
      </rPr>
      <t xml:space="preserve">3 </t>
    </r>
    <r>
      <rPr>
        <i/>
        <sz val="8"/>
        <color theme="1"/>
        <rFont val="Calibri"/>
        <family val="2"/>
        <scheme val="minor"/>
      </rPr>
      <t>(g NH</t>
    </r>
    <r>
      <rPr>
        <i/>
        <vertAlign val="subscript"/>
        <sz val="8"/>
        <color theme="1"/>
        <rFont val="Calibri"/>
        <family val="2"/>
        <scheme val="minor"/>
      </rPr>
      <t>3</t>
    </r>
    <r>
      <rPr>
        <i/>
        <sz val="8"/>
        <color theme="1"/>
        <rFont val="Calibri"/>
        <family val="2"/>
        <scheme val="minor"/>
      </rPr>
      <t>/kg MS)</t>
    </r>
  </si>
  <si>
    <r>
      <t>Precio</t>
    </r>
    <r>
      <rPr>
        <i/>
        <sz val="8"/>
        <color theme="1"/>
        <rFont val="Calibri"/>
        <family val="2"/>
        <scheme val="minor"/>
      </rPr>
      <t xml:space="preserve"> (€/kg)</t>
    </r>
  </si>
  <si>
    <r>
      <t xml:space="preserve">EM </t>
    </r>
    <r>
      <rPr>
        <i/>
        <sz val="8"/>
        <color theme="1"/>
        <rFont val="Calibri"/>
        <family val="2"/>
        <scheme val="minor"/>
      </rPr>
      <t>(MJ)</t>
    </r>
  </si>
  <si>
    <r>
      <t>NH</t>
    </r>
    <r>
      <rPr>
        <b/>
        <i/>
        <vertAlign val="subscript"/>
        <sz val="11"/>
        <color theme="1"/>
        <rFont val="Calibri"/>
        <family val="2"/>
        <scheme val="minor"/>
      </rPr>
      <t>3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(g NH</t>
    </r>
    <r>
      <rPr>
        <i/>
        <vertAlign val="subscript"/>
        <sz val="8"/>
        <color theme="1"/>
        <rFont val="Calibri"/>
        <family val="2"/>
        <scheme val="minor"/>
      </rPr>
      <t>3</t>
    </r>
    <r>
      <rPr>
        <i/>
        <sz val="8"/>
        <color theme="1"/>
        <rFont val="Calibri"/>
        <family val="2"/>
        <scheme val="minor"/>
      </rPr>
      <t>/kg MS)</t>
    </r>
  </si>
  <si>
    <r>
      <t>Precio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(€/kg)</t>
    </r>
  </si>
  <si>
    <r>
      <t xml:space="preserve">GEI </t>
    </r>
    <r>
      <rPr>
        <i/>
        <sz val="8"/>
        <color theme="1"/>
        <rFont val="Calibri"/>
        <family val="2"/>
        <scheme val="minor"/>
      </rPr>
      <t>(kg CO</t>
    </r>
    <r>
      <rPr>
        <i/>
        <vertAlign val="subscript"/>
        <sz val="8"/>
        <color theme="1"/>
        <rFont val="Calibri"/>
        <family val="2"/>
        <scheme val="minor"/>
      </rPr>
      <t>2</t>
    </r>
    <r>
      <rPr>
        <i/>
        <sz val="8"/>
        <color theme="1"/>
        <rFont val="Calibri"/>
        <family val="2"/>
        <scheme val="minor"/>
      </rPr>
      <t>eq/ kg MS)</t>
    </r>
  </si>
  <si>
    <r>
      <rPr>
        <b/>
        <i/>
        <sz val="10"/>
        <color theme="1"/>
        <rFont val="Calibri"/>
        <family val="2"/>
        <scheme val="minor"/>
      </rPr>
      <t>NH</t>
    </r>
    <r>
      <rPr>
        <b/>
        <i/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                   </t>
    </r>
    <r>
      <rPr>
        <sz val="8"/>
        <color theme="1"/>
        <rFont val="Calibri"/>
        <family val="2"/>
        <scheme val="minor"/>
      </rPr>
      <t>(kg NH</t>
    </r>
    <r>
      <rPr>
        <vertAlign val="sub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/año) </t>
    </r>
  </si>
  <si>
    <r>
      <t>GEI</t>
    </r>
    <r>
      <rPr>
        <b/>
        <i/>
        <vertAlign val="subscript"/>
        <sz val="11"/>
        <color theme="1"/>
        <rFont val="Calibri"/>
        <family val="2"/>
        <scheme val="minor"/>
      </rPr>
      <t xml:space="preserve">pienso  </t>
    </r>
    <r>
      <rPr>
        <b/>
        <i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</t>
    </r>
    <r>
      <rPr>
        <i/>
        <sz val="8"/>
        <color theme="1"/>
        <rFont val="Calibri"/>
        <family val="2"/>
        <scheme val="minor"/>
      </rPr>
      <t>(kg CO</t>
    </r>
    <r>
      <rPr>
        <i/>
        <vertAlign val="subscript"/>
        <sz val="8"/>
        <color theme="1"/>
        <rFont val="Calibri"/>
        <family val="2"/>
        <scheme val="minor"/>
      </rPr>
      <t>2</t>
    </r>
    <r>
      <rPr>
        <i/>
        <sz val="8"/>
        <color theme="1"/>
        <rFont val="Calibri"/>
        <family val="2"/>
        <scheme val="minor"/>
      </rPr>
      <t xml:space="preserve"> eq/ año)</t>
    </r>
  </si>
  <si>
    <r>
      <rPr>
        <b/>
        <i/>
        <sz val="11"/>
        <color theme="1"/>
        <rFont val="Calibri"/>
        <family val="2"/>
        <scheme val="minor"/>
      </rPr>
      <t>CH</t>
    </r>
    <r>
      <rPr>
        <b/>
        <i/>
        <vertAlign val="subscript"/>
        <sz val="11"/>
        <color theme="1"/>
        <rFont val="Calibri"/>
        <family val="2"/>
        <scheme val="minor"/>
      </rPr>
      <t xml:space="preserve">4 estiércol </t>
    </r>
    <r>
      <rPr>
        <i/>
        <sz val="8"/>
        <color theme="1"/>
        <rFont val="Calibri"/>
        <family val="2"/>
        <scheme val="minor"/>
      </rPr>
      <t>(kg CH</t>
    </r>
    <r>
      <rPr>
        <i/>
        <vertAlign val="subscript"/>
        <sz val="8"/>
        <color theme="1"/>
        <rFont val="Calibri"/>
        <family val="2"/>
        <scheme val="minor"/>
      </rPr>
      <t>4</t>
    </r>
    <r>
      <rPr>
        <i/>
        <sz val="8"/>
        <color theme="1"/>
        <rFont val="Calibri"/>
        <family val="2"/>
        <scheme val="minor"/>
      </rPr>
      <t>/año)</t>
    </r>
  </si>
  <si>
    <r>
      <rPr>
        <b/>
        <i/>
        <sz val="11"/>
        <color theme="1"/>
        <rFont val="Calibri"/>
        <family val="2"/>
        <scheme val="minor"/>
      </rPr>
      <t>NH</t>
    </r>
    <r>
      <rPr>
        <b/>
        <i/>
        <vertAlign val="subscript"/>
        <sz val="11"/>
        <color theme="1"/>
        <rFont val="Calibri"/>
        <family val="2"/>
        <scheme val="minor"/>
      </rPr>
      <t xml:space="preserve">3 TOTAL </t>
    </r>
    <r>
      <rPr>
        <i/>
        <vertAlign val="subscript"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           </t>
    </r>
    <r>
      <rPr>
        <i/>
        <sz val="8"/>
        <color theme="1"/>
        <rFont val="Calibri"/>
        <family val="2"/>
        <scheme val="minor"/>
      </rPr>
      <t xml:space="preserve">  (kg NH</t>
    </r>
    <r>
      <rPr>
        <i/>
        <vertAlign val="subscript"/>
        <sz val="8"/>
        <color theme="1"/>
        <rFont val="Calibri"/>
        <family val="2"/>
        <scheme val="minor"/>
      </rPr>
      <t>3</t>
    </r>
    <r>
      <rPr>
        <i/>
        <sz val="8"/>
        <color theme="1"/>
        <rFont val="Calibri"/>
        <family val="2"/>
        <scheme val="minor"/>
      </rPr>
      <t xml:space="preserve">/año) </t>
    </r>
  </si>
  <si>
    <t>TOTAL (EXPLOTACIÓN)</t>
  </si>
  <si>
    <t>Pienso</t>
  </si>
  <si>
    <t>Fermentación</t>
  </si>
  <si>
    <t>Estiércol</t>
  </si>
  <si>
    <t>Carne producida (kg)</t>
  </si>
  <si>
    <t>Consumo pienso</t>
  </si>
  <si>
    <r>
      <t>N</t>
    </r>
    <r>
      <rPr>
        <b/>
        <vertAlign val="subscript"/>
        <sz val="12"/>
        <color theme="1"/>
        <rFont val="Calibri"/>
        <family val="2"/>
        <scheme val="minor"/>
      </rPr>
      <t>ingerido total</t>
    </r>
  </si>
  <si>
    <r>
      <rPr>
        <b/>
        <i/>
        <sz val="11"/>
        <color theme="1"/>
        <rFont val="Calibri"/>
        <family val="2"/>
        <scheme val="minor"/>
      </rPr>
      <t>CH</t>
    </r>
    <r>
      <rPr>
        <b/>
        <i/>
        <vertAlign val="subscript"/>
        <sz val="11"/>
        <color theme="1"/>
        <rFont val="Calibri"/>
        <family val="2"/>
        <scheme val="minor"/>
      </rPr>
      <t>4 fermentación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 xml:space="preserve">        (kg CH</t>
    </r>
    <r>
      <rPr>
        <i/>
        <vertAlign val="subscript"/>
        <sz val="8"/>
        <color theme="1"/>
        <rFont val="Calibri"/>
        <family val="2"/>
        <scheme val="minor"/>
      </rPr>
      <t>4</t>
    </r>
    <r>
      <rPr>
        <i/>
        <sz val="8"/>
        <color theme="1"/>
        <rFont val="Calibri"/>
        <family val="2"/>
        <scheme val="minor"/>
      </rPr>
      <t>/año)</t>
    </r>
  </si>
  <si>
    <r>
      <t xml:space="preserve">GEI       </t>
    </r>
    <r>
      <rPr>
        <b/>
        <sz val="9"/>
        <color theme="1"/>
        <rFont val="Calibri"/>
        <family val="2"/>
        <scheme val="minor"/>
      </rPr>
      <t>(kg CO</t>
    </r>
    <r>
      <rPr>
        <b/>
        <vertAlign val="subscript"/>
        <sz val="9"/>
        <color theme="1"/>
        <rFont val="Calibri"/>
        <family val="2"/>
        <scheme val="minor"/>
      </rPr>
      <t>2</t>
    </r>
    <r>
      <rPr>
        <b/>
        <sz val="9"/>
        <color theme="1"/>
        <rFont val="Calibri"/>
        <family val="2"/>
        <scheme val="minor"/>
      </rPr>
      <t xml:space="preserve"> eq)</t>
    </r>
  </si>
  <si>
    <r>
      <t>NH</t>
    </r>
    <r>
      <rPr>
        <b/>
        <vertAlign val="subscript"/>
        <sz val="12"/>
        <color theme="1"/>
        <rFont val="Calibri"/>
        <family val="2"/>
        <scheme val="minor"/>
      </rPr>
      <t xml:space="preserve">3         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(kg NH</t>
    </r>
    <r>
      <rPr>
        <b/>
        <vertAlign val="sub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</si>
  <si>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España mejores</t>
  </si>
  <si>
    <t>España media</t>
  </si>
  <si>
    <t>España peores</t>
  </si>
  <si>
    <r>
      <t xml:space="preserve">ED    </t>
    </r>
    <r>
      <rPr>
        <i/>
        <sz val="8"/>
        <color theme="1"/>
        <rFont val="Calibri"/>
        <family val="2"/>
        <scheme val="minor"/>
      </rPr>
      <t>(MJ/kg MS)</t>
    </r>
  </si>
  <si>
    <r>
      <t xml:space="preserve">ED </t>
    </r>
    <r>
      <rPr>
        <i/>
        <sz val="8"/>
        <color theme="1"/>
        <rFont val="Calibri"/>
        <family val="2"/>
        <scheme val="minor"/>
      </rPr>
      <t>(MJ/kg MS)</t>
    </r>
  </si>
  <si>
    <r>
      <t>ED</t>
    </r>
    <r>
      <rPr>
        <i/>
        <sz val="8"/>
        <color theme="1"/>
        <rFont val="Calibri"/>
        <family val="2"/>
        <scheme val="minor"/>
      </rPr>
      <t xml:space="preserve"> (MJ/kg MS)</t>
    </r>
  </si>
  <si>
    <t>Entrada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</si>
</sst>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"/>
    <numFmt numFmtId="167" formatCode="0.0%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0.5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Calibri"/>
      <family val="2"/>
      <scheme val="minor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i/>
      <vertAlign val="subscript"/>
      <sz val="12"/>
      <color theme="1"/>
      <name val="Calibri"/>
      <family val="2"/>
    </font>
    <font>
      <i/>
      <sz val="8"/>
      <color theme="1"/>
      <name val="Calibri"/>
      <family val="2"/>
    </font>
    <font>
      <i/>
      <sz val="8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i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i/>
      <vertAlign val="subscript"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vertAlign val="subscript"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9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auto="1"/>
      </right>
      <top style="medium">
        <color auto="1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indexed="64"/>
      </bottom>
      <diagonal/>
    </border>
    <border>
      <left style="medium">
        <color auto="1"/>
      </left>
      <right style="thick">
        <color indexed="64"/>
      </right>
      <top style="medium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5" fillId="6" borderId="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0" fillId="0" borderId="2" xfId="0" applyBorder="1"/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13" xfId="0" applyBorder="1"/>
    <xf numFmtId="0" fontId="0" fillId="7" borderId="0" xfId="0" applyFill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7" borderId="17" xfId="0" applyFill="1" applyBorder="1"/>
    <xf numFmtId="0" fontId="0" fillId="7" borderId="0" xfId="0" applyFill="1"/>
    <xf numFmtId="0" fontId="13" fillId="0" borderId="20" xfId="0" applyFont="1" applyFill="1" applyBorder="1" applyAlignment="1">
      <alignment horizontal="center"/>
    </xf>
    <xf numFmtId="0" fontId="0" fillId="0" borderId="3" xfId="0" applyBorder="1"/>
    <xf numFmtId="0" fontId="13" fillId="6" borderId="2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7" fillId="0" borderId="0" xfId="0" applyFont="1" applyBorder="1"/>
    <xf numFmtId="0" fontId="18" fillId="0" borderId="0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15" borderId="8" xfId="0" applyNumberFormat="1" applyFill="1" applyBorder="1" applyAlignment="1">
      <alignment horizontal="center"/>
    </xf>
    <xf numFmtId="2" fontId="0" fillId="15" borderId="7" xfId="0" applyNumberFormat="1" applyFill="1" applyBorder="1" applyAlignment="1">
      <alignment horizontal="center"/>
    </xf>
    <xf numFmtId="2" fontId="0" fillId="15" borderId="9" xfId="0" applyNumberFormat="1" applyFill="1" applyBorder="1" applyAlignment="1">
      <alignment horizontal="center"/>
    </xf>
    <xf numFmtId="0" fontId="13" fillId="22" borderId="27" xfId="0" applyFont="1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2" fontId="0" fillId="16" borderId="42" xfId="0" applyNumberFormat="1" applyFill="1" applyBorder="1" applyAlignment="1">
      <alignment horizontal="center"/>
    </xf>
    <xf numFmtId="2" fontId="0" fillId="16" borderId="43" xfId="0" applyNumberFormat="1" applyFill="1" applyBorder="1" applyAlignment="1">
      <alignment horizontal="center"/>
    </xf>
    <xf numFmtId="2" fontId="0" fillId="17" borderId="6" xfId="0" applyNumberFormat="1" applyFill="1" applyBorder="1" applyAlignment="1">
      <alignment horizontal="center"/>
    </xf>
    <xf numFmtId="2" fontId="0" fillId="17" borderId="11" xfId="0" applyNumberFormat="1" applyFill="1" applyBorder="1" applyAlignment="1">
      <alignment horizontal="center"/>
    </xf>
    <xf numFmtId="2" fontId="1" fillId="22" borderId="14" xfId="0" applyNumberFormat="1" applyFont="1" applyFill="1" applyBorder="1" applyAlignment="1">
      <alignment horizontal="center"/>
    </xf>
    <xf numFmtId="2" fontId="1" fillId="5" borderId="14" xfId="0" applyNumberFormat="1" applyFont="1" applyFill="1" applyBorder="1" applyAlignment="1">
      <alignment horizontal="center"/>
    </xf>
    <xf numFmtId="2" fontId="0" fillId="20" borderId="43" xfId="0" applyNumberFormat="1" applyFill="1" applyBorder="1" applyAlignment="1">
      <alignment horizontal="center"/>
    </xf>
    <xf numFmtId="2" fontId="0" fillId="23" borderId="6" xfId="0" applyNumberFormat="1" applyFill="1" applyBorder="1" applyAlignment="1">
      <alignment horizontal="center"/>
    </xf>
    <xf numFmtId="2" fontId="1" fillId="13" borderId="29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2" fontId="0" fillId="0" borderId="48" xfId="0" applyNumberFormat="1" applyBorder="1"/>
    <xf numFmtId="0" fontId="6" fillId="4" borderId="49" xfId="0" applyFont="1" applyFill="1" applyBorder="1" applyAlignment="1">
      <alignment horizontal="left"/>
    </xf>
    <xf numFmtId="2" fontId="0" fillId="0" borderId="50" xfId="0" applyNumberFormat="1" applyBorder="1"/>
    <xf numFmtId="0" fontId="6" fillId="4" borderId="52" xfId="0" applyFont="1" applyFill="1" applyBorder="1" applyAlignment="1">
      <alignment horizontal="left"/>
    </xf>
    <xf numFmtId="0" fontId="6" fillId="4" borderId="31" xfId="0" applyFont="1" applyFill="1" applyBorder="1" applyAlignment="1">
      <alignment horizontal="left"/>
    </xf>
    <xf numFmtId="2" fontId="0" fillId="0" borderId="54" xfId="0" applyNumberFormat="1" applyBorder="1"/>
    <xf numFmtId="2" fontId="0" fillId="0" borderId="23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15" borderId="56" xfId="0" applyNumberFormat="1" applyFill="1" applyBorder="1" applyAlignment="1">
      <alignment horizontal="center"/>
    </xf>
    <xf numFmtId="2" fontId="0" fillId="15" borderId="60" xfId="0" applyNumberFormat="1" applyFill="1" applyBorder="1" applyAlignment="1">
      <alignment horizontal="center"/>
    </xf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4" xfId="0" applyFont="1" applyBorder="1" applyAlignment="1">
      <alignment horizontal="left"/>
    </xf>
    <xf numFmtId="164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7" borderId="17" xfId="0" applyFill="1" applyBorder="1" applyAlignment="1">
      <alignment horizontal="left" vertical="center"/>
    </xf>
    <xf numFmtId="164" fontId="0" fillId="18" borderId="7" xfId="1" applyNumberFormat="1" applyFont="1" applyFill="1" applyBorder="1" applyAlignment="1">
      <alignment horizontal="center"/>
    </xf>
    <xf numFmtId="164" fontId="0" fillId="18" borderId="60" xfId="1" applyNumberFormat="1" applyFont="1" applyFill="1" applyBorder="1" applyAlignment="1">
      <alignment horizontal="center"/>
    </xf>
    <xf numFmtId="164" fontId="0" fillId="18" borderId="8" xfId="1" applyNumberFormat="1" applyFont="1" applyFill="1" applyBorder="1" applyAlignment="1">
      <alignment horizontal="center"/>
    </xf>
    <xf numFmtId="164" fontId="0" fillId="18" borderId="56" xfId="1" applyNumberFormat="1" applyFont="1" applyFill="1" applyBorder="1" applyAlignment="1">
      <alignment horizontal="center"/>
    </xf>
    <xf numFmtId="164" fontId="0" fillId="18" borderId="9" xfId="1" applyNumberFormat="1" applyFont="1" applyFill="1" applyBorder="1" applyAlignment="1">
      <alignment horizontal="center"/>
    </xf>
    <xf numFmtId="164" fontId="0" fillId="19" borderId="7" xfId="1" applyNumberFormat="1" applyFont="1" applyFill="1" applyBorder="1" applyAlignment="1">
      <alignment horizontal="center"/>
    </xf>
    <xf numFmtId="164" fontId="0" fillId="19" borderId="60" xfId="1" applyNumberFormat="1" applyFont="1" applyFill="1" applyBorder="1" applyAlignment="1">
      <alignment horizontal="center"/>
    </xf>
    <xf numFmtId="164" fontId="0" fillId="19" borderId="8" xfId="1" applyNumberFormat="1" applyFont="1" applyFill="1" applyBorder="1" applyAlignment="1">
      <alignment horizontal="center"/>
    </xf>
    <xf numFmtId="164" fontId="0" fillId="19" borderId="56" xfId="1" applyNumberFormat="1" applyFont="1" applyFill="1" applyBorder="1" applyAlignment="1">
      <alignment horizontal="center"/>
    </xf>
    <xf numFmtId="164" fontId="0" fillId="19" borderId="9" xfId="1" applyNumberFormat="1" applyFont="1" applyFill="1" applyBorder="1" applyAlignment="1">
      <alignment horizontal="center"/>
    </xf>
    <xf numFmtId="2" fontId="13" fillId="13" borderId="27" xfId="0" applyNumberFormat="1" applyFont="1" applyFill="1" applyBorder="1" applyAlignment="1">
      <alignment horizontal="center"/>
    </xf>
    <xf numFmtId="164" fontId="0" fillId="21" borderId="7" xfId="1" applyNumberFormat="1" applyFont="1" applyFill="1" applyBorder="1" applyAlignment="1">
      <alignment horizontal="center"/>
    </xf>
    <xf numFmtId="164" fontId="0" fillId="21" borderId="60" xfId="1" applyNumberFormat="1" applyFont="1" applyFill="1" applyBorder="1" applyAlignment="1">
      <alignment horizontal="center"/>
    </xf>
    <xf numFmtId="164" fontId="0" fillId="21" borderId="8" xfId="1" applyNumberFormat="1" applyFont="1" applyFill="1" applyBorder="1" applyAlignment="1">
      <alignment horizontal="center"/>
    </xf>
    <xf numFmtId="164" fontId="0" fillId="21" borderId="56" xfId="1" applyNumberFormat="1" applyFont="1" applyFill="1" applyBorder="1" applyAlignment="1">
      <alignment horizontal="center"/>
    </xf>
    <xf numFmtId="164" fontId="0" fillId="21" borderId="9" xfId="1" applyNumberFormat="1" applyFont="1" applyFill="1" applyBorder="1" applyAlignment="1">
      <alignment horizontal="center"/>
    </xf>
    <xf numFmtId="2" fontId="13" fillId="12" borderId="27" xfId="0" applyNumberFormat="1" applyFont="1" applyFill="1" applyBorder="1" applyAlignment="1">
      <alignment horizontal="center"/>
    </xf>
    <xf numFmtId="164" fontId="0" fillId="14" borderId="7" xfId="1" applyNumberFormat="1" applyFont="1" applyFill="1" applyBorder="1" applyAlignment="1">
      <alignment horizontal="center"/>
    </xf>
    <xf numFmtId="164" fontId="0" fillId="14" borderId="60" xfId="1" applyNumberFormat="1" applyFont="1" applyFill="1" applyBorder="1" applyAlignment="1">
      <alignment horizontal="center"/>
    </xf>
    <xf numFmtId="164" fontId="0" fillId="14" borderId="8" xfId="1" applyNumberFormat="1" applyFont="1" applyFill="1" applyBorder="1" applyAlignment="1">
      <alignment horizontal="center"/>
    </xf>
    <xf numFmtId="164" fontId="0" fillId="14" borderId="56" xfId="1" applyNumberFormat="1" applyFont="1" applyFill="1" applyBorder="1" applyAlignment="1">
      <alignment horizontal="center"/>
    </xf>
    <xf numFmtId="164" fontId="0" fillId="14" borderId="9" xfId="1" applyNumberFormat="1" applyFont="1" applyFill="1" applyBorder="1" applyAlignment="1">
      <alignment horizontal="center"/>
    </xf>
    <xf numFmtId="2" fontId="0" fillId="17" borderId="12" xfId="0" applyNumberFormat="1" applyFill="1" applyBorder="1" applyAlignment="1">
      <alignment horizontal="center"/>
    </xf>
    <xf numFmtId="166" fontId="0" fillId="16" borderId="38" xfId="0" applyNumberFormat="1" applyFill="1" applyBorder="1" applyAlignment="1">
      <alignment horizontal="center"/>
    </xf>
    <xf numFmtId="166" fontId="0" fillId="16" borderId="37" xfId="0" applyNumberFormat="1" applyFill="1" applyBorder="1" applyAlignment="1">
      <alignment horizontal="center"/>
    </xf>
    <xf numFmtId="166" fontId="0" fillId="16" borderId="58" xfId="0" applyNumberFormat="1" applyFill="1" applyBorder="1" applyAlignment="1">
      <alignment horizontal="center"/>
    </xf>
    <xf numFmtId="166" fontId="0" fillId="16" borderId="39" xfId="0" applyNumberFormat="1" applyFill="1" applyBorder="1" applyAlignment="1">
      <alignment horizontal="center"/>
    </xf>
    <xf numFmtId="166" fontId="0" fillId="17" borderId="15" xfId="0" applyNumberFormat="1" applyFill="1" applyBorder="1" applyAlignment="1">
      <alignment horizontal="center"/>
    </xf>
    <xf numFmtId="166" fontId="0" fillId="17" borderId="37" xfId="0" applyNumberFormat="1" applyFill="1" applyBorder="1" applyAlignment="1">
      <alignment horizontal="center"/>
    </xf>
    <xf numFmtId="166" fontId="0" fillId="17" borderId="58" xfId="0" applyNumberFormat="1" applyFill="1" applyBorder="1" applyAlignment="1">
      <alignment horizontal="center"/>
    </xf>
    <xf numFmtId="166" fontId="0" fillId="17" borderId="39" xfId="0" applyNumberFormat="1" applyFill="1" applyBorder="1" applyAlignment="1">
      <alignment horizontal="center"/>
    </xf>
    <xf numFmtId="166" fontId="1" fillId="5" borderId="14" xfId="0" applyNumberFormat="1" applyFont="1" applyFill="1" applyBorder="1" applyAlignment="1">
      <alignment horizontal="center"/>
    </xf>
    <xf numFmtId="166" fontId="0" fillId="20" borderId="41" xfId="0" applyNumberFormat="1" applyFill="1" applyBorder="1" applyAlignment="1">
      <alignment horizontal="center"/>
    </xf>
    <xf numFmtId="166" fontId="1" fillId="13" borderId="29" xfId="0" applyNumberFormat="1" applyFont="1" applyFill="1" applyBorder="1" applyAlignment="1">
      <alignment horizontal="center"/>
    </xf>
    <xf numFmtId="166" fontId="0" fillId="23" borderId="38" xfId="0" applyNumberFormat="1" applyFill="1" applyBorder="1" applyAlignment="1">
      <alignment horizontal="center"/>
    </xf>
    <xf numFmtId="166" fontId="0" fillId="23" borderId="37" xfId="0" applyNumberFormat="1" applyFill="1" applyBorder="1" applyAlignment="1">
      <alignment horizontal="center"/>
    </xf>
    <xf numFmtId="166" fontId="0" fillId="23" borderId="58" xfId="0" applyNumberFormat="1" applyFill="1" applyBorder="1" applyAlignment="1">
      <alignment horizontal="center"/>
    </xf>
    <xf numFmtId="166" fontId="0" fillId="23" borderId="39" xfId="0" applyNumberForma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63" xfId="0" applyBorder="1" applyAlignment="1">
      <alignment horizontal="center"/>
    </xf>
    <xf numFmtId="10" fontId="1" fillId="5" borderId="14" xfId="1" applyNumberFormat="1" applyFont="1" applyFill="1" applyBorder="1" applyAlignment="1">
      <alignment horizontal="center"/>
    </xf>
    <xf numFmtId="10" fontId="0" fillId="20" borderId="43" xfId="1" applyNumberFormat="1" applyFont="1" applyFill="1" applyBorder="1" applyAlignment="1">
      <alignment horizontal="center"/>
    </xf>
    <xf numFmtId="10" fontId="1" fillId="13" borderId="29" xfId="1" applyNumberFormat="1" applyFont="1" applyFill="1" applyBorder="1" applyAlignment="1">
      <alignment horizontal="center"/>
    </xf>
    <xf numFmtId="10" fontId="1" fillId="12" borderId="14" xfId="1" applyNumberFormat="1" applyFont="1" applyFill="1" applyBorder="1" applyAlignment="1">
      <alignment horizontal="center"/>
    </xf>
    <xf numFmtId="10" fontId="0" fillId="23" borderId="12" xfId="1" applyNumberFormat="1" applyFont="1" applyFill="1" applyBorder="1" applyAlignment="1">
      <alignment horizontal="center"/>
    </xf>
    <xf numFmtId="10" fontId="0" fillId="23" borderId="6" xfId="1" applyNumberFormat="1" applyFont="1" applyFill="1" applyBorder="1" applyAlignment="1">
      <alignment horizontal="center"/>
    </xf>
    <xf numFmtId="10" fontId="0" fillId="23" borderId="61" xfId="1" applyNumberFormat="1" applyFont="1" applyFill="1" applyBorder="1" applyAlignment="1">
      <alignment horizontal="center"/>
    </xf>
    <xf numFmtId="10" fontId="0" fillId="17" borderId="10" xfId="1" applyNumberFormat="1" applyFont="1" applyFill="1" applyBorder="1" applyAlignment="1">
      <alignment horizontal="center"/>
    </xf>
    <xf numFmtId="10" fontId="0" fillId="17" borderId="61" xfId="1" applyNumberFormat="1" applyFont="1" applyFill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22" xfId="0" applyFill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0" fontId="20" fillId="4" borderId="45" xfId="0" applyFont="1" applyFill="1" applyBorder="1" applyAlignment="1">
      <alignment horizontal="left"/>
    </xf>
    <xf numFmtId="0" fontId="20" fillId="4" borderId="46" xfId="0" applyFont="1" applyFill="1" applyBorder="1" applyAlignment="1">
      <alignment horizontal="left"/>
    </xf>
    <xf numFmtId="0" fontId="20" fillId="4" borderId="47" xfId="0" applyFont="1" applyFill="1" applyBorder="1" applyAlignment="1">
      <alignment horizontal="left"/>
    </xf>
    <xf numFmtId="0" fontId="0" fillId="0" borderId="23" xfId="0" applyFill="1" applyBorder="1" applyAlignment="1">
      <alignment horizontal="center"/>
    </xf>
    <xf numFmtId="0" fontId="1" fillId="4" borderId="64" xfId="0" applyFont="1" applyFill="1" applyBorder="1" applyAlignment="1">
      <alignment horizontal="center"/>
    </xf>
    <xf numFmtId="0" fontId="1" fillId="4" borderId="65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/>
    </xf>
    <xf numFmtId="0" fontId="2" fillId="3" borderId="49" xfId="0" applyFont="1" applyFill="1" applyBorder="1" applyAlignment="1">
      <alignment vertical="center"/>
    </xf>
    <xf numFmtId="2" fontId="0" fillId="0" borderId="2" xfId="0" applyNumberFormat="1" applyBorder="1" applyAlignment="1">
      <alignment horizontal="center"/>
    </xf>
    <xf numFmtId="0" fontId="13" fillId="0" borderId="55" xfId="0" applyFont="1" applyFill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10" fontId="0" fillId="17" borderId="6" xfId="1" applyNumberFormat="1" applyFont="1" applyFill="1" applyBorder="1" applyAlignment="1">
      <alignment horizontal="center"/>
    </xf>
    <xf numFmtId="10" fontId="0" fillId="17" borderId="11" xfId="1" applyNumberFormat="1" applyFont="1" applyFill="1" applyBorder="1" applyAlignment="1">
      <alignment horizontal="center"/>
    </xf>
    <xf numFmtId="10" fontId="0" fillId="23" borderId="11" xfId="1" applyNumberFormat="1" applyFont="1" applyFill="1" applyBorder="1" applyAlignment="1">
      <alignment horizontal="center"/>
    </xf>
    <xf numFmtId="10" fontId="0" fillId="16" borderId="42" xfId="1" applyNumberFormat="1" applyFont="1" applyFill="1" applyBorder="1" applyAlignment="1">
      <alignment horizontal="center"/>
    </xf>
    <xf numFmtId="10" fontId="0" fillId="16" borderId="43" xfId="1" applyNumberFormat="1" applyFont="1" applyFill="1" applyBorder="1" applyAlignment="1">
      <alignment horizontal="center"/>
    </xf>
    <xf numFmtId="10" fontId="1" fillId="22" borderId="14" xfId="1" applyNumberFormat="1" applyFont="1" applyFill="1" applyBorder="1" applyAlignment="1">
      <alignment horizontal="center"/>
    </xf>
    <xf numFmtId="2" fontId="0" fillId="0" borderId="22" xfId="1" applyNumberFormat="1" applyFont="1" applyBorder="1" applyAlignment="1">
      <alignment horizontal="center"/>
    </xf>
    <xf numFmtId="2" fontId="0" fillId="0" borderId="23" xfId="1" applyNumberFormat="1" applyFont="1" applyBorder="1" applyAlignment="1">
      <alignment horizontal="center"/>
    </xf>
    <xf numFmtId="2" fontId="0" fillId="0" borderId="24" xfId="1" applyNumberFormat="1" applyFont="1" applyBorder="1" applyAlignment="1">
      <alignment horizontal="center"/>
    </xf>
    <xf numFmtId="1" fontId="0" fillId="7" borderId="16" xfId="0" applyNumberFormat="1" applyFill="1" applyBorder="1" applyAlignment="1">
      <alignment horizontal="right"/>
    </xf>
    <xf numFmtId="2" fontId="0" fillId="0" borderId="63" xfId="0" applyNumberFormat="1" applyBorder="1" applyAlignment="1">
      <alignment horizontal="center"/>
    </xf>
    <xf numFmtId="0" fontId="13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22" xfId="0" applyNumberFormat="1" applyBorder="1" applyAlignment="1">
      <alignment horizontal="center" wrapText="1"/>
    </xf>
    <xf numFmtId="0" fontId="5" fillId="6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wrapText="1"/>
    </xf>
    <xf numFmtId="0" fontId="13" fillId="6" borderId="5" xfId="0" applyFont="1" applyFill="1" applyBorder="1" applyAlignment="1">
      <alignment horizontal="center" wrapText="1"/>
    </xf>
    <xf numFmtId="0" fontId="13" fillId="6" borderId="4" xfId="0" applyFont="1" applyFill="1" applyBorder="1" applyAlignment="1">
      <alignment horizontal="center" wrapText="1"/>
    </xf>
    <xf numFmtId="2" fontId="0" fillId="0" borderId="66" xfId="0" applyNumberFormat="1" applyBorder="1" applyAlignment="1">
      <alignment horizontal="center" vertical="center"/>
    </xf>
    <xf numFmtId="2" fontId="0" fillId="0" borderId="63" xfId="0" applyNumberFormat="1" applyBorder="1" applyAlignment="1">
      <alignment horizontal="center" vertical="center"/>
    </xf>
    <xf numFmtId="164" fontId="0" fillId="15" borderId="38" xfId="0" applyNumberFormat="1" applyFill="1" applyBorder="1" applyAlignment="1">
      <alignment horizontal="center"/>
    </xf>
    <xf numFmtId="164" fontId="0" fillId="15" borderId="62" xfId="0" applyNumberFormat="1" applyFill="1" applyBorder="1" applyAlignment="1">
      <alignment horizontal="center"/>
    </xf>
    <xf numFmtId="164" fontId="0" fillId="15" borderId="37" xfId="0" applyNumberFormat="1" applyFill="1" applyBorder="1" applyAlignment="1">
      <alignment horizontal="center"/>
    </xf>
    <xf numFmtId="164" fontId="0" fillId="15" borderId="58" xfId="0" applyNumberFormat="1" applyFill="1" applyBorder="1" applyAlignment="1">
      <alignment horizontal="center"/>
    </xf>
    <xf numFmtId="164" fontId="0" fillId="15" borderId="39" xfId="0" applyNumberFormat="1" applyFill="1" applyBorder="1" applyAlignment="1">
      <alignment horizontal="center"/>
    </xf>
    <xf numFmtId="0" fontId="19" fillId="25" borderId="30" xfId="0" applyFont="1" applyFill="1" applyBorder="1"/>
    <xf numFmtId="0" fontId="19" fillId="24" borderId="5" xfId="0" applyFont="1" applyFill="1" applyBorder="1" applyAlignment="1">
      <alignment horizontal="center"/>
    </xf>
    <xf numFmtId="167" fontId="0" fillId="15" borderId="23" xfId="1" applyNumberFormat="1" applyFont="1" applyFill="1" applyBorder="1" applyAlignment="1">
      <alignment horizontal="center"/>
    </xf>
    <xf numFmtId="9" fontId="0" fillId="15" borderId="23" xfId="1" applyFont="1" applyFill="1" applyBorder="1" applyAlignment="1">
      <alignment horizontal="center"/>
    </xf>
    <xf numFmtId="9" fontId="0" fillId="15" borderId="2" xfId="1" applyFon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0" fillId="0" borderId="78" xfId="0" applyNumberFormat="1" applyBorder="1" applyAlignment="1">
      <alignment horizontal="center" vertical="center"/>
    </xf>
    <xf numFmtId="49" fontId="0" fillId="0" borderId="78" xfId="0" applyNumberFormat="1" applyBorder="1" applyAlignment="1">
      <alignment horizontal="center" vertical="center"/>
    </xf>
    <xf numFmtId="164" fontId="0" fillId="0" borderId="80" xfId="0" applyNumberForma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164" fontId="0" fillId="0" borderId="81" xfId="0" applyNumberFormat="1" applyBorder="1" applyAlignment="1">
      <alignment horizontal="center" vertical="center"/>
    </xf>
    <xf numFmtId="164" fontId="0" fillId="0" borderId="7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76" xfId="0" applyNumberFormat="1" applyBorder="1" applyAlignment="1">
      <alignment horizontal="center" vertical="center"/>
    </xf>
    <xf numFmtId="164" fontId="0" fillId="0" borderId="72" xfId="0" applyNumberFormat="1" applyBorder="1" applyAlignment="1">
      <alignment horizontal="center" vertical="center"/>
    </xf>
    <xf numFmtId="164" fontId="0" fillId="0" borderId="78" xfId="0" applyNumberFormat="1" applyBorder="1" applyAlignment="1">
      <alignment horizontal="center"/>
    </xf>
    <xf numFmtId="0" fontId="13" fillId="26" borderId="79" xfId="0" applyFont="1" applyFill="1" applyBorder="1" applyAlignment="1">
      <alignment horizontal="center"/>
    </xf>
    <xf numFmtId="0" fontId="13" fillId="26" borderId="21" xfId="0" applyFont="1" applyFill="1" applyBorder="1" applyAlignment="1">
      <alignment horizontal="center"/>
    </xf>
    <xf numFmtId="0" fontId="13" fillId="26" borderId="77" xfId="0" applyFont="1" applyFill="1" applyBorder="1" applyAlignment="1">
      <alignment horizontal="center"/>
    </xf>
    <xf numFmtId="164" fontId="0" fillId="0" borderId="8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13" fillId="9" borderId="79" xfId="0" applyFont="1" applyFill="1" applyBorder="1" applyAlignment="1">
      <alignment horizontal="center"/>
    </xf>
    <xf numFmtId="0" fontId="13" fillId="9" borderId="21" xfId="0" applyFont="1" applyFill="1" applyBorder="1" applyAlignment="1">
      <alignment horizontal="center"/>
    </xf>
    <xf numFmtId="0" fontId="13" fillId="9" borderId="77" xfId="0" applyFont="1" applyFill="1" applyBorder="1" applyAlignment="1">
      <alignment horizontal="center"/>
    </xf>
    <xf numFmtId="165" fontId="0" fillId="0" borderId="78" xfId="0" applyNumberFormat="1" applyBorder="1" applyAlignment="1">
      <alignment horizontal="center" vertical="center"/>
    </xf>
    <xf numFmtId="165" fontId="0" fillId="0" borderId="71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85" xfId="0" applyNumberFormat="1" applyBorder="1" applyAlignment="1">
      <alignment horizontal="center" vertical="center"/>
    </xf>
    <xf numFmtId="165" fontId="0" fillId="0" borderId="82" xfId="0" applyNumberFormat="1" applyBorder="1" applyAlignment="1">
      <alignment horizontal="center" vertical="center"/>
    </xf>
    <xf numFmtId="165" fontId="0" fillId="0" borderId="86" xfId="0" applyNumberFormat="1" applyBorder="1" applyAlignment="1">
      <alignment horizontal="center" vertical="center"/>
    </xf>
    <xf numFmtId="165" fontId="0" fillId="0" borderId="87" xfId="0" applyNumberFormat="1" applyBorder="1" applyAlignment="1">
      <alignment horizontal="center" vertical="center"/>
    </xf>
    <xf numFmtId="165" fontId="0" fillId="0" borderId="80" xfId="0" applyNumberFormat="1" applyBorder="1" applyAlignment="1">
      <alignment horizontal="center" vertical="center"/>
    </xf>
    <xf numFmtId="165" fontId="0" fillId="0" borderId="72" xfId="0" applyNumberFormat="1" applyBorder="1" applyAlignment="1">
      <alignment horizontal="center" vertical="center"/>
    </xf>
    <xf numFmtId="165" fontId="0" fillId="0" borderId="81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166" fontId="1" fillId="22" borderId="90" xfId="0" applyNumberFormat="1" applyFont="1" applyFill="1" applyBorder="1" applyAlignment="1">
      <alignment horizontal="center"/>
    </xf>
    <xf numFmtId="0" fontId="0" fillId="15" borderId="95" xfId="0" applyFill="1" applyBorder="1" applyAlignment="1">
      <alignment horizontal="center"/>
    </xf>
    <xf numFmtId="0" fontId="0" fillId="15" borderId="96" xfId="0" applyFill="1" applyBorder="1" applyAlignment="1">
      <alignment horizontal="center"/>
    </xf>
    <xf numFmtId="0" fontId="0" fillId="15" borderId="97" xfId="0" applyFill="1" applyBorder="1" applyAlignment="1">
      <alignment horizontal="center"/>
    </xf>
    <xf numFmtId="0" fontId="0" fillId="15" borderId="98" xfId="0" applyFill="1" applyBorder="1" applyAlignment="1">
      <alignment horizontal="center"/>
    </xf>
    <xf numFmtId="0" fontId="0" fillId="15" borderId="99" xfId="0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164" fontId="0" fillId="0" borderId="26" xfId="1" applyNumberFormat="1" applyFont="1" applyFill="1" applyBorder="1" applyAlignment="1">
      <alignment horizontal="center"/>
    </xf>
    <xf numFmtId="2" fontId="0" fillId="16" borderId="94" xfId="1" applyNumberFormat="1" applyFont="1" applyFill="1" applyBorder="1" applyAlignment="1">
      <alignment horizontal="center"/>
    </xf>
    <xf numFmtId="2" fontId="0" fillId="16" borderId="11" xfId="1" applyNumberFormat="1" applyFont="1" applyFill="1" applyBorder="1" applyAlignment="1">
      <alignment horizontal="center"/>
    </xf>
    <xf numFmtId="2" fontId="0" fillId="16" borderId="6" xfId="1" applyNumberFormat="1" applyFont="1" applyFill="1" applyBorder="1" applyAlignment="1">
      <alignment horizontal="center"/>
    </xf>
    <xf numFmtId="2" fontId="0" fillId="16" borderId="57" xfId="1" applyNumberFormat="1" applyFont="1" applyFill="1" applyBorder="1" applyAlignment="1">
      <alignment horizontal="center"/>
    </xf>
    <xf numFmtId="2" fontId="1" fillId="22" borderId="90" xfId="0" applyNumberFormat="1" applyFont="1" applyFill="1" applyBorder="1" applyAlignment="1">
      <alignment horizontal="center"/>
    </xf>
    <xf numFmtId="2" fontId="1" fillId="5" borderId="14" xfId="1" applyNumberFormat="1" applyFont="1" applyFill="1" applyBorder="1" applyAlignment="1">
      <alignment horizontal="center"/>
    </xf>
    <xf numFmtId="2" fontId="1" fillId="13" borderId="29" xfId="1" applyNumberFormat="1" applyFont="1" applyFill="1" applyBorder="1" applyAlignment="1">
      <alignment horizontal="center"/>
    </xf>
    <xf numFmtId="2" fontId="1" fillId="12" borderId="14" xfId="1" applyNumberFormat="1" applyFont="1" applyFill="1" applyBorder="1" applyAlignment="1">
      <alignment horizontal="center"/>
    </xf>
    <xf numFmtId="2" fontId="0" fillId="17" borderId="12" xfId="1" applyNumberFormat="1" applyFont="1" applyFill="1" applyBorder="1" applyAlignment="1">
      <alignment horizontal="center"/>
    </xf>
    <xf numFmtId="2" fontId="0" fillId="17" borderId="6" xfId="1" applyNumberFormat="1" applyFont="1" applyFill="1" applyBorder="1" applyAlignment="1">
      <alignment horizontal="center"/>
    </xf>
    <xf numFmtId="2" fontId="0" fillId="17" borderId="13" xfId="1" applyNumberFormat="1" applyFont="1" applyFill="1" applyBorder="1" applyAlignment="1">
      <alignment horizontal="center"/>
    </xf>
    <xf numFmtId="2" fontId="0" fillId="17" borderId="57" xfId="1" applyNumberFormat="1" applyFont="1" applyFill="1" applyBorder="1" applyAlignment="1">
      <alignment horizontal="center"/>
    </xf>
    <xf numFmtId="10" fontId="0" fillId="20" borderId="6" xfId="1" applyNumberFormat="1" applyFont="1" applyFill="1" applyBorder="1" applyAlignment="1">
      <alignment horizontal="center"/>
    </xf>
    <xf numFmtId="2" fontId="0" fillId="20" borderId="6" xfId="1" applyNumberFormat="1" applyFont="1" applyFill="1" applyBorder="1" applyAlignment="1">
      <alignment horizontal="center"/>
    </xf>
    <xf numFmtId="2" fontId="0" fillId="23" borderId="57" xfId="1" applyNumberFormat="1" applyFont="1" applyFill="1" applyBorder="1" applyAlignment="1">
      <alignment horizontal="center"/>
    </xf>
    <xf numFmtId="2" fontId="0" fillId="23" borderId="6" xfId="1" applyNumberFormat="1" applyFont="1" applyFill="1" applyBorder="1" applyAlignment="1">
      <alignment horizontal="center"/>
    </xf>
    <xf numFmtId="10" fontId="0" fillId="23" borderId="57" xfId="1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9" fontId="0" fillId="0" borderId="26" xfId="1" applyFont="1" applyFill="1" applyBorder="1" applyAlignment="1">
      <alignment horizontal="center"/>
    </xf>
    <xf numFmtId="10" fontId="1" fillId="22" borderId="90" xfId="0" applyNumberFormat="1" applyFont="1" applyFill="1" applyBorder="1" applyAlignment="1">
      <alignment horizontal="center"/>
    </xf>
    <xf numFmtId="10" fontId="0" fillId="23" borderId="10" xfId="1" applyNumberFormat="1" applyFont="1" applyFill="1" applyBorder="1" applyAlignment="1">
      <alignment horizontal="center"/>
    </xf>
    <xf numFmtId="10" fontId="0" fillId="16" borderId="13" xfId="1" applyNumberFormat="1" applyFont="1" applyFill="1" applyBorder="1" applyAlignment="1">
      <alignment horizontal="center"/>
    </xf>
    <xf numFmtId="10" fontId="0" fillId="16" borderId="10" xfId="1" applyNumberFormat="1" applyFont="1" applyFill="1" applyBorder="1" applyAlignment="1">
      <alignment horizontal="center"/>
    </xf>
    <xf numFmtId="10" fontId="0" fillId="16" borderId="6" xfId="1" applyNumberFormat="1" applyFont="1" applyFill="1" applyBorder="1" applyAlignment="1">
      <alignment horizontal="center"/>
    </xf>
    <xf numFmtId="10" fontId="0" fillId="16" borderId="57" xfId="1" applyNumberFormat="1" applyFont="1" applyFill="1" applyBorder="1" applyAlignment="1">
      <alignment horizontal="center"/>
    </xf>
    <xf numFmtId="0" fontId="32" fillId="6" borderId="2" xfId="0" applyFont="1" applyFill="1" applyBorder="1" applyAlignment="1">
      <alignment horizontal="center" vertical="center" wrapText="1"/>
    </xf>
    <xf numFmtId="2" fontId="0" fillId="0" borderId="30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32" fillId="6" borderId="4" xfId="0" applyFont="1" applyFill="1" applyBorder="1" applyAlignment="1">
      <alignment horizontal="center" vertical="center" wrapText="1"/>
    </xf>
    <xf numFmtId="2" fontId="0" fillId="0" borderId="73" xfId="0" applyNumberFormat="1" applyBorder="1" applyAlignment="1">
      <alignment horizontal="center"/>
    </xf>
    <xf numFmtId="0" fontId="13" fillId="6" borderId="2" xfId="0" applyFont="1" applyFill="1" applyBorder="1" applyAlignment="1">
      <alignment horizontal="center" vertical="center" wrapText="1"/>
    </xf>
    <xf numFmtId="2" fontId="0" fillId="0" borderId="86" xfId="0" applyNumberFormat="1" applyBorder="1" applyAlignment="1">
      <alignment horizontal="center"/>
    </xf>
    <xf numFmtId="2" fontId="0" fillId="0" borderId="78" xfId="0" applyNumberFormat="1" applyBorder="1" applyAlignment="1">
      <alignment horizontal="center"/>
    </xf>
    <xf numFmtId="2" fontId="0" fillId="0" borderId="83" xfId="0" applyNumberFormat="1" applyBorder="1" applyAlignment="1">
      <alignment horizontal="center"/>
    </xf>
    <xf numFmtId="0" fontId="32" fillId="27" borderId="25" xfId="0" applyFont="1" applyFill="1" applyBorder="1" applyAlignment="1">
      <alignment horizontal="center" wrapText="1"/>
    </xf>
    <xf numFmtId="0" fontId="32" fillId="27" borderId="105" xfId="0" applyFont="1" applyFill="1" applyBorder="1" applyAlignment="1">
      <alignment horizontal="center" wrapText="1"/>
    </xf>
    <xf numFmtId="165" fontId="0" fillId="15" borderId="13" xfId="1" applyNumberFormat="1" applyFont="1" applyFill="1" applyBorder="1" applyAlignment="1">
      <alignment horizontal="center"/>
    </xf>
    <xf numFmtId="165" fontId="0" fillId="15" borderId="57" xfId="1" applyNumberFormat="1" applyFont="1" applyFill="1" applyBorder="1" applyAlignment="1">
      <alignment horizontal="center"/>
    </xf>
    <xf numFmtId="165" fontId="0" fillId="15" borderId="6" xfId="1" applyNumberFormat="1" applyFont="1" applyFill="1" applyBorder="1" applyAlignment="1">
      <alignment horizontal="center"/>
    </xf>
    <xf numFmtId="10" fontId="0" fillId="16" borderId="11" xfId="1" applyNumberFormat="1" applyFont="1" applyFill="1" applyBorder="1" applyAlignment="1">
      <alignment horizontal="center"/>
    </xf>
    <xf numFmtId="2" fontId="0" fillId="23" borderId="12" xfId="1" applyNumberFormat="1" applyFont="1" applyFill="1" applyBorder="1" applyAlignment="1">
      <alignment horizontal="center"/>
    </xf>
    <xf numFmtId="165" fontId="0" fillId="15" borderId="106" xfId="1" applyNumberFormat="1" applyFont="1" applyFill="1" applyBorder="1" applyAlignment="1">
      <alignment horizontal="center"/>
    </xf>
    <xf numFmtId="165" fontId="0" fillId="15" borderId="107" xfId="1" applyNumberFormat="1" applyFont="1" applyFill="1" applyBorder="1" applyAlignment="1">
      <alignment horizontal="center"/>
    </xf>
    <xf numFmtId="2" fontId="0" fillId="0" borderId="0" xfId="0" applyNumberFormat="1"/>
    <xf numFmtId="164" fontId="0" fillId="0" borderId="22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2" fontId="0" fillId="0" borderId="45" xfId="0" applyNumberFormat="1" applyFill="1" applyBorder="1" applyAlignment="1">
      <alignment horizontal="center"/>
    </xf>
    <xf numFmtId="2" fontId="0" fillId="0" borderId="46" xfId="0" applyNumberFormat="1" applyFill="1" applyBorder="1" applyAlignment="1">
      <alignment horizontal="center"/>
    </xf>
    <xf numFmtId="2" fontId="0" fillId="0" borderId="47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51" xfId="0" applyNumberFormat="1" applyFill="1" applyBorder="1" applyAlignment="1">
      <alignment horizontal="center"/>
    </xf>
    <xf numFmtId="2" fontId="0" fillId="0" borderId="53" xfId="0" applyNumberFormat="1" applyFill="1" applyBorder="1" applyAlignment="1">
      <alignment horizontal="center"/>
    </xf>
    <xf numFmtId="2" fontId="0" fillId="0" borderId="33" xfId="0" applyNumberFormat="1" applyFill="1" applyBorder="1" applyAlignment="1">
      <alignment horizontal="center"/>
    </xf>
    <xf numFmtId="164" fontId="0" fillId="0" borderId="73" xfId="0" applyNumberFormat="1" applyBorder="1" applyAlignment="1">
      <alignment horizontal="center"/>
    </xf>
    <xf numFmtId="0" fontId="32" fillId="27" borderId="21" xfId="0" applyFont="1" applyFill="1" applyBorder="1" applyAlignment="1">
      <alignment horizontal="center" wrapText="1"/>
    </xf>
    <xf numFmtId="2" fontId="0" fillId="0" borderId="87" xfId="0" applyNumberFormat="1" applyBorder="1" applyAlignment="1">
      <alignment horizontal="center"/>
    </xf>
    <xf numFmtId="2" fontId="0" fillId="0" borderId="80" xfId="0" applyNumberFormat="1" applyBorder="1" applyAlignment="1">
      <alignment horizontal="center"/>
    </xf>
    <xf numFmtId="2" fontId="0" fillId="0" borderId="81" xfId="0" applyNumberFormat="1" applyBorder="1" applyAlignment="1">
      <alignment horizontal="center"/>
    </xf>
    <xf numFmtId="2" fontId="0" fillId="0" borderId="104" xfId="0" applyNumberFormat="1" applyBorder="1" applyAlignment="1">
      <alignment horizontal="center"/>
    </xf>
    <xf numFmtId="0" fontId="32" fillId="27" borderId="79" xfId="0" applyFont="1" applyFill="1" applyBorder="1" applyAlignment="1">
      <alignment horizontal="center" wrapText="1"/>
    </xf>
    <xf numFmtId="0" fontId="32" fillId="27" borderId="63" xfId="0" applyFont="1" applyFill="1" applyBorder="1" applyAlignment="1">
      <alignment horizontal="center" vertical="center" wrapText="1"/>
    </xf>
    <xf numFmtId="0" fontId="32" fillId="27" borderId="77" xfId="0" applyFont="1" applyFill="1" applyBorder="1" applyAlignment="1">
      <alignment horizontal="center" vertical="center" wrapText="1"/>
    </xf>
    <xf numFmtId="2" fontId="0" fillId="0" borderId="109" xfId="0" applyNumberFormat="1" applyBorder="1" applyAlignment="1">
      <alignment horizontal="center"/>
    </xf>
    <xf numFmtId="0" fontId="36" fillId="28" borderId="2" xfId="0" applyFont="1" applyFill="1" applyBorder="1" applyAlignment="1">
      <alignment horizontal="left"/>
    </xf>
    <xf numFmtId="2" fontId="0" fillId="0" borderId="5" xfId="0" applyNumberFormat="1" applyBorder="1" applyAlignment="1">
      <alignment horizontal="center"/>
    </xf>
    <xf numFmtId="0" fontId="0" fillId="0" borderId="15" xfId="0" applyBorder="1"/>
    <xf numFmtId="167" fontId="0" fillId="15" borderId="75" xfId="1" applyNumberFormat="1" applyFont="1" applyFill="1" applyBorder="1" applyAlignment="1">
      <alignment horizontal="center"/>
    </xf>
    <xf numFmtId="167" fontId="0" fillId="15" borderId="55" xfId="1" applyNumberFormat="1" applyFont="1" applyFill="1" applyBorder="1" applyAlignment="1">
      <alignment horizontal="center"/>
    </xf>
    <xf numFmtId="167" fontId="0" fillId="15" borderId="35" xfId="1" applyNumberFormat="1" applyFont="1" applyFill="1" applyBorder="1" applyAlignment="1">
      <alignment horizontal="center"/>
    </xf>
    <xf numFmtId="167" fontId="0" fillId="15" borderId="30" xfId="1" applyNumberFormat="1" applyFont="1" applyFill="1" applyBorder="1" applyAlignment="1">
      <alignment horizontal="center"/>
    </xf>
    <xf numFmtId="9" fontId="0" fillId="15" borderId="35" xfId="1" applyFont="1" applyFill="1" applyBorder="1" applyAlignment="1">
      <alignment horizontal="center"/>
    </xf>
    <xf numFmtId="9" fontId="0" fillId="15" borderId="30" xfId="1" applyFont="1" applyFill="1" applyBorder="1" applyAlignment="1">
      <alignment horizontal="center"/>
    </xf>
    <xf numFmtId="9" fontId="0" fillId="15" borderId="36" xfId="1" applyFont="1" applyFill="1" applyBorder="1" applyAlignment="1">
      <alignment horizontal="center"/>
    </xf>
    <xf numFmtId="164" fontId="0" fillId="15" borderId="108" xfId="1" applyNumberFormat="1" applyFont="1" applyFill="1" applyBorder="1" applyAlignment="1">
      <alignment horizontal="center"/>
    </xf>
    <xf numFmtId="164" fontId="0" fillId="15" borderId="91" xfId="1" applyNumberFormat="1" applyFont="1" applyFill="1" applyBorder="1" applyAlignment="1">
      <alignment horizontal="center"/>
    </xf>
    <xf numFmtId="164" fontId="0" fillId="15" borderId="24" xfId="1" applyNumberFormat="1" applyFont="1" applyFill="1" applyBorder="1" applyAlignment="1">
      <alignment horizontal="center"/>
    </xf>
    <xf numFmtId="164" fontId="0" fillId="15" borderId="63" xfId="0" applyNumberFormat="1" applyFill="1" applyBorder="1" applyAlignment="1">
      <alignment horizontal="center"/>
    </xf>
    <xf numFmtId="0" fontId="37" fillId="29" borderId="34" xfId="0" applyFont="1" applyFill="1" applyBorder="1"/>
    <xf numFmtId="0" fontId="37" fillId="29" borderId="59" xfId="0" applyFont="1" applyFill="1" applyBorder="1"/>
    <xf numFmtId="0" fontId="37" fillId="29" borderId="35" xfId="0" applyFont="1" applyFill="1" applyBorder="1"/>
    <xf numFmtId="0" fontId="37" fillId="29" borderId="55" xfId="0" applyFont="1" applyFill="1" applyBorder="1"/>
    <xf numFmtId="0" fontId="37" fillId="29" borderId="36" xfId="0" applyFont="1" applyFill="1" applyBorder="1"/>
    <xf numFmtId="0" fontId="13" fillId="10" borderId="0" xfId="0" applyFont="1" applyFill="1" applyBorder="1" applyAlignment="1">
      <alignment horizontal="center" vertical="center"/>
    </xf>
    <xf numFmtId="0" fontId="13" fillId="10" borderId="29" xfId="0" applyFont="1" applyFill="1" applyBorder="1" applyAlignment="1">
      <alignment horizontal="center" vertical="center"/>
    </xf>
    <xf numFmtId="0" fontId="13" fillId="10" borderId="92" xfId="0" applyFont="1" applyFill="1" applyBorder="1" applyAlignment="1">
      <alignment horizontal="center" vertical="center"/>
    </xf>
    <xf numFmtId="0" fontId="13" fillId="10" borderId="94" xfId="0" applyFont="1" applyFill="1" applyBorder="1" applyAlignment="1">
      <alignment horizontal="center" vertical="center"/>
    </xf>
    <xf numFmtId="0" fontId="13" fillId="10" borderId="76" xfId="0" applyFont="1" applyFill="1" applyBorder="1" applyAlignment="1">
      <alignment horizontal="center" vertical="center"/>
    </xf>
    <xf numFmtId="0" fontId="13" fillId="10" borderId="102" xfId="0" applyFont="1" applyFill="1" applyBorder="1" applyAlignment="1">
      <alignment horizontal="center" vertical="center"/>
    </xf>
    <xf numFmtId="2" fontId="0" fillId="16" borderId="10" xfId="1" applyNumberFormat="1" applyFont="1" applyFill="1" applyBorder="1" applyAlignment="1">
      <alignment horizontal="center"/>
    </xf>
    <xf numFmtId="2" fontId="0" fillId="16" borderId="13" xfId="1" applyNumberFormat="1" applyFont="1" applyFill="1" applyBorder="1" applyAlignment="1">
      <alignment horizontal="center"/>
    </xf>
    <xf numFmtId="2" fontId="0" fillId="16" borderId="12" xfId="1" applyNumberFormat="1" applyFont="1" applyFill="1" applyBorder="1" applyAlignment="1">
      <alignment horizontal="center"/>
    </xf>
    <xf numFmtId="0" fontId="13" fillId="11" borderId="29" xfId="0" applyFont="1" applyFill="1" applyBorder="1" applyAlignment="1">
      <alignment horizontal="center" vertical="center"/>
    </xf>
    <xf numFmtId="2" fontId="0" fillId="17" borderId="10" xfId="1" applyNumberFormat="1" applyFont="1" applyFill="1" applyBorder="1" applyAlignment="1">
      <alignment horizontal="center"/>
    </xf>
    <xf numFmtId="2" fontId="0" fillId="17" borderId="11" xfId="1" applyNumberFormat="1" applyFont="1" applyFill="1" applyBorder="1" applyAlignment="1">
      <alignment horizontal="center"/>
    </xf>
    <xf numFmtId="2" fontId="0" fillId="17" borderId="61" xfId="1" applyNumberFormat="1" applyFont="1" applyFill="1" applyBorder="1" applyAlignment="1">
      <alignment horizontal="center"/>
    </xf>
    <xf numFmtId="2" fontId="0" fillId="17" borderId="43" xfId="1" applyNumberFormat="1" applyFont="1" applyFill="1" applyBorder="1" applyAlignment="1">
      <alignment horizontal="center"/>
    </xf>
    <xf numFmtId="2" fontId="0" fillId="20" borderId="43" xfId="1" applyNumberFormat="1" applyFont="1" applyFill="1" applyBorder="1" applyAlignment="1">
      <alignment horizontal="center"/>
    </xf>
    <xf numFmtId="10" fontId="1" fillId="12" borderId="112" xfId="1" applyNumberFormat="1" applyFont="1" applyFill="1" applyBorder="1" applyAlignment="1">
      <alignment horizontal="center"/>
    </xf>
    <xf numFmtId="2" fontId="0" fillId="23" borderId="42" xfId="1" applyNumberFormat="1" applyFont="1" applyFill="1" applyBorder="1" applyAlignment="1">
      <alignment horizontal="center"/>
    </xf>
    <xf numFmtId="2" fontId="0" fillId="23" borderId="43" xfId="1" applyNumberFormat="1" applyFont="1" applyFill="1" applyBorder="1" applyAlignment="1">
      <alignment horizontal="center"/>
    </xf>
    <xf numFmtId="2" fontId="0" fillId="23" borderId="90" xfId="1" applyNumberFormat="1" applyFont="1" applyFill="1" applyBorder="1" applyAlignment="1">
      <alignment horizontal="center"/>
    </xf>
    <xf numFmtId="2" fontId="1" fillId="12" borderId="103" xfId="1" applyNumberFormat="1" applyFont="1" applyFill="1" applyBorder="1" applyAlignment="1">
      <alignment horizontal="center"/>
    </xf>
    <xf numFmtId="166" fontId="1" fillId="12" borderId="29" xfId="0" applyNumberFormat="1" applyFont="1" applyFill="1" applyBorder="1" applyAlignment="1">
      <alignment horizontal="center"/>
    </xf>
    <xf numFmtId="2" fontId="0" fillId="23" borderId="10" xfId="1" applyNumberFormat="1" applyFont="1" applyFill="1" applyBorder="1" applyAlignment="1">
      <alignment horizontal="center"/>
    </xf>
    <xf numFmtId="2" fontId="0" fillId="23" borderId="14" xfId="1" applyNumberFormat="1" applyFont="1" applyFill="1" applyBorder="1" applyAlignment="1">
      <alignment horizontal="center"/>
    </xf>
    <xf numFmtId="2" fontId="1" fillId="12" borderId="29" xfId="1" applyNumberFormat="1" applyFont="1" applyFill="1" applyBorder="1" applyAlignment="1">
      <alignment horizontal="center"/>
    </xf>
    <xf numFmtId="2" fontId="1" fillId="13" borderId="92" xfId="1" applyNumberFormat="1" applyFont="1" applyFill="1" applyBorder="1" applyAlignment="1">
      <alignment horizontal="center"/>
    </xf>
    <xf numFmtId="10" fontId="0" fillId="17" borderId="43" xfId="1" applyNumberFormat="1" applyFont="1" applyFill="1" applyBorder="1" applyAlignment="1">
      <alignment horizontal="center"/>
    </xf>
    <xf numFmtId="10" fontId="0" fillId="17" borderId="111" xfId="1" applyNumberFormat="1" applyFont="1" applyFill="1" applyBorder="1" applyAlignment="1">
      <alignment horizontal="center"/>
    </xf>
    <xf numFmtId="10" fontId="0" fillId="17" borderId="113" xfId="1" applyNumberFormat="1" applyFont="1" applyFill="1" applyBorder="1" applyAlignment="1">
      <alignment horizontal="center"/>
    </xf>
    <xf numFmtId="0" fontId="13" fillId="11" borderId="75" xfId="0" applyFont="1" applyFill="1" applyBorder="1" applyAlignment="1">
      <alignment horizontal="center" vertical="center"/>
    </xf>
    <xf numFmtId="0" fontId="13" fillId="11" borderId="94" xfId="0" applyFont="1" applyFill="1" applyBorder="1" applyAlignment="1">
      <alignment horizontal="center" vertical="center"/>
    </xf>
    <xf numFmtId="0" fontId="13" fillId="11" borderId="26" xfId="0" applyFont="1" applyFill="1" applyBorder="1" applyAlignment="1">
      <alignment horizontal="center" vertical="center"/>
    </xf>
    <xf numFmtId="0" fontId="13" fillId="11" borderId="102" xfId="0" applyFont="1" applyFill="1" applyBorder="1" applyAlignment="1">
      <alignment horizontal="center" vertical="center"/>
    </xf>
    <xf numFmtId="0" fontId="13" fillId="13" borderId="93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3" fillId="13" borderId="102" xfId="0" applyFont="1" applyFill="1" applyBorder="1" applyAlignment="1">
      <alignment horizontal="center" vertical="center"/>
    </xf>
    <xf numFmtId="0" fontId="13" fillId="12" borderId="75" xfId="0" applyFont="1" applyFill="1" applyBorder="1" applyAlignment="1">
      <alignment horizontal="center" vertical="center"/>
    </xf>
    <xf numFmtId="0" fontId="13" fillId="12" borderId="29" xfId="0" applyFont="1" applyFill="1" applyBorder="1" applyAlignment="1">
      <alignment horizontal="center" vertical="center"/>
    </xf>
    <xf numFmtId="0" fontId="13" fillId="12" borderId="103" xfId="0" applyFont="1" applyFill="1" applyBorder="1" applyAlignment="1">
      <alignment horizontal="center" vertical="center"/>
    </xf>
    <xf numFmtId="0" fontId="13" fillId="12" borderId="102" xfId="0" applyFont="1" applyFill="1" applyBorder="1" applyAlignment="1">
      <alignment horizontal="center" vertical="center"/>
    </xf>
    <xf numFmtId="2" fontId="0" fillId="0" borderId="85" xfId="0" applyNumberFormat="1" applyBorder="1" applyAlignment="1">
      <alignment horizontal="center"/>
    </xf>
    <xf numFmtId="2" fontId="0" fillId="0" borderId="84" xfId="0" applyNumberFormat="1" applyBorder="1" applyAlignment="1">
      <alignment horizontal="center"/>
    </xf>
    <xf numFmtId="0" fontId="13" fillId="27" borderId="30" xfId="0" applyFont="1" applyFill="1" applyBorder="1" applyAlignment="1">
      <alignment horizontal="center" vertical="center" wrapText="1"/>
    </xf>
    <xf numFmtId="0" fontId="26" fillId="27" borderId="110" xfId="0" applyFont="1" applyFill="1" applyBorder="1" applyAlignment="1">
      <alignment horizontal="center" vertical="center" wrapText="1"/>
    </xf>
    <xf numFmtId="2" fontId="0" fillId="0" borderId="89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2" fontId="0" fillId="0" borderId="76" xfId="0" applyNumberFormat="1" applyBorder="1" applyAlignment="1">
      <alignment horizontal="center"/>
    </xf>
    <xf numFmtId="2" fontId="0" fillId="7" borderId="0" xfId="0" applyNumberFormat="1" applyFill="1" applyBorder="1"/>
    <xf numFmtId="2" fontId="0" fillId="7" borderId="0" xfId="0" applyNumberFormat="1" applyFill="1" applyBorder="1" applyAlignment="1">
      <alignment horizontal="center"/>
    </xf>
    <xf numFmtId="0" fontId="1" fillId="9" borderId="114" xfId="0" applyFont="1" applyFill="1" applyBorder="1" applyAlignment="1"/>
    <xf numFmtId="0" fontId="1" fillId="9" borderId="20" xfId="0" applyFont="1" applyFill="1" applyBorder="1"/>
    <xf numFmtId="0" fontId="1" fillId="9" borderId="81" xfId="0" applyFont="1" applyFill="1" applyBorder="1"/>
    <xf numFmtId="0" fontId="39" fillId="30" borderId="82" xfId="0" applyFont="1" applyFill="1" applyBorder="1" applyAlignment="1"/>
    <xf numFmtId="0" fontId="12" fillId="7" borderId="0" xfId="0" applyFont="1" applyFill="1" applyBorder="1" applyAlignment="1">
      <alignment vertical="center" wrapText="1"/>
    </xf>
    <xf numFmtId="0" fontId="39" fillId="7" borderId="0" xfId="0" applyFont="1" applyFill="1" applyBorder="1" applyAlignment="1"/>
    <xf numFmtId="165" fontId="0" fillId="7" borderId="38" xfId="0" applyNumberFormat="1" applyFill="1" applyBorder="1" applyAlignment="1">
      <alignment horizontal="center"/>
    </xf>
    <xf numFmtId="165" fontId="0" fillId="7" borderId="37" xfId="0" applyNumberFormat="1" applyFill="1" applyBorder="1" applyAlignment="1">
      <alignment horizontal="center"/>
    </xf>
    <xf numFmtId="165" fontId="0" fillId="7" borderId="63" xfId="0" applyNumberFormat="1" applyFill="1" applyBorder="1" applyAlignment="1">
      <alignment horizontal="center"/>
    </xf>
    <xf numFmtId="165" fontId="0" fillId="7" borderId="0" xfId="0" applyNumberFormat="1" applyFill="1" applyBorder="1"/>
    <xf numFmtId="0" fontId="0" fillId="0" borderId="13" xfId="0" applyBorder="1" applyAlignment="1">
      <alignment horizontal="center"/>
    </xf>
    <xf numFmtId="9" fontId="0" fillId="0" borderId="13" xfId="1" applyFont="1" applyBorder="1" applyAlignment="1">
      <alignment horizontal="center"/>
    </xf>
    <xf numFmtId="2" fontId="0" fillId="16" borderId="11" xfId="0" applyNumberFormat="1" applyFill="1" applyBorder="1" applyAlignment="1">
      <alignment horizontal="center"/>
    </xf>
    <xf numFmtId="10" fontId="0" fillId="16" borderId="44" xfId="1" applyNumberFormat="1" applyFont="1" applyFill="1" applyBorder="1" applyAlignment="1">
      <alignment horizontal="center"/>
    </xf>
    <xf numFmtId="10" fontId="0" fillId="17" borderId="44" xfId="1" applyNumberFormat="1" applyFont="1" applyFill="1" applyBorder="1" applyAlignment="1">
      <alignment horizontal="center"/>
    </xf>
    <xf numFmtId="2" fontId="0" fillId="23" borderId="11" xfId="1" applyNumberFormat="1" applyFont="1" applyFill="1" applyBorder="1" applyAlignment="1">
      <alignment horizontal="center"/>
    </xf>
    <xf numFmtId="2" fontId="0" fillId="20" borderId="113" xfId="0" applyNumberFormat="1" applyFill="1" applyBorder="1" applyAlignment="1">
      <alignment horizontal="center"/>
    </xf>
    <xf numFmtId="2" fontId="0" fillId="20" borderId="61" xfId="1" applyNumberFormat="1" applyFont="1" applyFill="1" applyBorder="1" applyAlignment="1">
      <alignment horizontal="center"/>
    </xf>
    <xf numFmtId="2" fontId="0" fillId="20" borderId="113" xfId="1" applyNumberFormat="1" applyFont="1" applyFill="1" applyBorder="1" applyAlignment="1">
      <alignment horizontal="center"/>
    </xf>
    <xf numFmtId="0" fontId="13" fillId="13" borderId="92" xfId="0" applyFont="1" applyFill="1" applyBorder="1" applyAlignment="1">
      <alignment horizontal="center" vertical="center"/>
    </xf>
    <xf numFmtId="2" fontId="0" fillId="23" borderId="57" xfId="0" applyNumberFormat="1" applyFill="1" applyBorder="1" applyAlignment="1">
      <alignment horizontal="center"/>
    </xf>
    <xf numFmtId="2" fontId="1" fillId="12" borderId="29" xfId="0" applyNumberFormat="1" applyFont="1" applyFill="1" applyBorder="1" applyAlignment="1">
      <alignment horizontal="center"/>
    </xf>
    <xf numFmtId="167" fontId="0" fillId="0" borderId="13" xfId="1" applyNumberFormat="1" applyFont="1" applyBorder="1" applyAlignment="1">
      <alignment horizontal="center"/>
    </xf>
    <xf numFmtId="10" fontId="0" fillId="0" borderId="13" xfId="1" applyNumberFormat="1" applyFont="1" applyBorder="1" applyAlignment="1">
      <alignment horizontal="center"/>
    </xf>
    <xf numFmtId="1" fontId="20" fillId="0" borderId="14" xfId="0" applyNumberFormat="1" applyFont="1" applyFill="1" applyBorder="1" applyAlignment="1">
      <alignment horizontal="center"/>
    </xf>
    <xf numFmtId="0" fontId="8" fillId="31" borderId="30" xfId="0" applyFont="1" applyFill="1" applyBorder="1" applyAlignment="1">
      <alignment vertical="center"/>
    </xf>
    <xf numFmtId="0" fontId="9" fillId="31" borderId="30" xfId="0" applyFont="1" applyFill="1" applyBorder="1"/>
    <xf numFmtId="0" fontId="9" fillId="31" borderId="30" xfId="0" applyFont="1" applyFill="1" applyBorder="1" applyAlignment="1">
      <alignment vertical="center"/>
    </xf>
    <xf numFmtId="0" fontId="10" fillId="31" borderId="30" xfId="0" applyFont="1" applyFill="1" applyBorder="1" applyAlignment="1">
      <alignment vertical="center"/>
    </xf>
    <xf numFmtId="0" fontId="10" fillId="31" borderId="30" xfId="0" applyFont="1" applyFill="1" applyBorder="1"/>
    <xf numFmtId="0" fontId="10" fillId="31" borderId="25" xfId="0" applyFont="1" applyFill="1" applyBorder="1"/>
    <xf numFmtId="2" fontId="0" fillId="0" borderId="13" xfId="0" applyNumberFormat="1" applyBorder="1" applyAlignment="1">
      <alignment horizontal="center"/>
    </xf>
    <xf numFmtId="0" fontId="13" fillId="6" borderId="67" xfId="0" applyFont="1" applyFill="1" applyBorder="1" applyAlignment="1">
      <alignment horizontal="left" vertical="center"/>
    </xf>
    <xf numFmtId="0" fontId="13" fillId="6" borderId="100" xfId="0" applyFont="1" applyFill="1" applyBorder="1" applyAlignment="1">
      <alignment horizontal="left" vertical="center"/>
    </xf>
    <xf numFmtId="0" fontId="13" fillId="6" borderId="68" xfId="0" applyFont="1" applyFill="1" applyBorder="1" applyAlignment="1">
      <alignment horizontal="left" vertical="center"/>
    </xf>
    <xf numFmtId="0" fontId="13" fillId="6" borderId="30" xfId="0" applyFont="1" applyFill="1" applyBorder="1" applyAlignment="1">
      <alignment horizontal="left" vertical="center"/>
    </xf>
    <xf numFmtId="0" fontId="13" fillId="6" borderId="0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69" xfId="0" applyFont="1" applyFill="1" applyBorder="1" applyAlignment="1">
      <alignment horizontal="left" vertical="center"/>
    </xf>
    <xf numFmtId="0" fontId="13" fillId="6" borderId="101" xfId="0" applyFont="1" applyFill="1" applyBorder="1" applyAlignment="1">
      <alignment horizontal="left" vertical="center"/>
    </xf>
    <xf numFmtId="0" fontId="13" fillId="6" borderId="70" xfId="0" applyFont="1" applyFill="1" applyBorder="1" applyAlignment="1">
      <alignment horizontal="left" vertical="center"/>
    </xf>
    <xf numFmtId="0" fontId="13" fillId="9" borderId="22" xfId="0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 vertical="center"/>
    </xf>
    <xf numFmtId="0" fontId="13" fillId="9" borderId="22" xfId="0" applyFont="1" applyFill="1" applyBorder="1" applyAlignment="1">
      <alignment horizontal="center" vertical="center"/>
    </xf>
    <xf numFmtId="0" fontId="13" fillId="10" borderId="31" xfId="0" applyFont="1" applyFill="1" applyBorder="1" applyAlignment="1">
      <alignment horizontal="center"/>
    </xf>
    <xf numFmtId="0" fontId="13" fillId="10" borderId="32" xfId="0" applyFont="1" applyFill="1" applyBorder="1" applyAlignment="1">
      <alignment horizontal="center"/>
    </xf>
    <xf numFmtId="0" fontId="13" fillId="10" borderId="54" xfId="0" applyFont="1" applyFill="1" applyBorder="1" applyAlignment="1">
      <alignment horizontal="center"/>
    </xf>
    <xf numFmtId="0" fontId="13" fillId="10" borderId="33" xfId="0" applyFont="1" applyFill="1" applyBorder="1" applyAlignment="1">
      <alignment horizontal="center"/>
    </xf>
    <xf numFmtId="0" fontId="13" fillId="9" borderId="23" xfId="0" applyFont="1" applyFill="1" applyBorder="1" applyAlignment="1">
      <alignment horizontal="center" vertical="center" wrapText="1"/>
    </xf>
    <xf numFmtId="0" fontId="13" fillId="26" borderId="22" xfId="0" applyFont="1" applyFill="1" applyBorder="1" applyAlignment="1">
      <alignment horizontal="center" vertical="center" wrapText="1"/>
    </xf>
    <xf numFmtId="0" fontId="13" fillId="26" borderId="23" xfId="0" applyFont="1" applyFill="1" applyBorder="1" applyAlignment="1">
      <alignment horizontal="center" vertical="center" wrapText="1"/>
    </xf>
    <xf numFmtId="0" fontId="13" fillId="26" borderId="24" xfId="0" applyFont="1" applyFill="1" applyBorder="1" applyAlignment="1">
      <alignment horizontal="center" vertical="center" wrapText="1"/>
    </xf>
    <xf numFmtId="0" fontId="13" fillId="9" borderId="75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wrapText="1"/>
    </xf>
    <xf numFmtId="0" fontId="13" fillId="9" borderId="59" xfId="0" applyFont="1" applyFill="1" applyBorder="1" applyAlignment="1">
      <alignment horizontal="center" vertical="center" wrapText="1"/>
    </xf>
    <xf numFmtId="0" fontId="13" fillId="9" borderId="74" xfId="0" applyFont="1" applyFill="1" applyBorder="1" applyAlignment="1">
      <alignment horizontal="center" vertical="center" wrapText="1"/>
    </xf>
    <xf numFmtId="0" fontId="13" fillId="26" borderId="75" xfId="0" applyFont="1" applyFill="1" applyBorder="1" applyAlignment="1">
      <alignment horizontal="center" vertical="center" wrapText="1"/>
    </xf>
    <xf numFmtId="0" fontId="13" fillId="26" borderId="26" xfId="0" applyFont="1" applyFill="1" applyBorder="1" applyAlignment="1">
      <alignment horizontal="center" vertical="center" wrapText="1"/>
    </xf>
    <xf numFmtId="0" fontId="13" fillId="26" borderId="59" xfId="0" applyFont="1" applyFill="1" applyBorder="1" applyAlignment="1">
      <alignment horizontal="center" vertical="center" wrapText="1"/>
    </xf>
    <xf numFmtId="0" fontId="13" fillId="26" borderId="74" xfId="0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/>
    </xf>
    <xf numFmtId="0" fontId="0" fillId="6" borderId="76" xfId="0" applyFill="1" applyBorder="1" applyAlignment="1">
      <alignment horizontal="center"/>
    </xf>
    <xf numFmtId="0" fontId="0" fillId="6" borderId="82" xfId="0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0" fillId="6" borderId="82" xfId="0" applyFill="1" applyBorder="1" applyAlignment="1">
      <alignment horizontal="left"/>
    </xf>
    <xf numFmtId="0" fontId="13" fillId="6" borderId="5" xfId="0" applyFont="1" applyFill="1" applyBorder="1" applyAlignment="1">
      <alignment horizontal="left"/>
    </xf>
    <xf numFmtId="0" fontId="13" fillId="6" borderId="82" xfId="0" applyFont="1" applyFill="1" applyBorder="1" applyAlignment="1">
      <alignment horizontal="left"/>
    </xf>
    <xf numFmtId="0" fontId="32" fillId="6" borderId="75" xfId="0" applyFont="1" applyFill="1" applyBorder="1" applyAlignment="1">
      <alignment horizontal="left"/>
    </xf>
    <xf numFmtId="0" fontId="32" fillId="6" borderId="88" xfId="0" applyFont="1" applyFill="1" applyBorder="1" applyAlignment="1">
      <alignment horizontal="left"/>
    </xf>
    <xf numFmtId="0" fontId="32" fillId="6" borderId="5" xfId="0" applyFont="1" applyFill="1" applyBorder="1" applyAlignment="1">
      <alignment horizontal="left"/>
    </xf>
    <xf numFmtId="0" fontId="32" fillId="6" borderId="82" xfId="0" applyFont="1" applyFill="1" applyBorder="1" applyAlignment="1">
      <alignment horizontal="left"/>
    </xf>
    <xf numFmtId="0" fontId="32" fillId="6" borderId="22" xfId="0" applyFont="1" applyFill="1" applyBorder="1" applyAlignment="1">
      <alignment horizontal="center"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13" fillId="6" borderId="75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 wrapText="1"/>
    </xf>
    <xf numFmtId="0" fontId="13" fillId="27" borderId="22" xfId="0" applyFont="1" applyFill="1" applyBorder="1" applyAlignment="1">
      <alignment horizontal="center" vertical="center" wrapText="1"/>
    </xf>
    <xf numFmtId="0" fontId="13" fillId="27" borderId="24" xfId="0" applyFont="1" applyFill="1" applyBorder="1" applyAlignment="1">
      <alignment horizontal="center" vertical="center" wrapText="1"/>
    </xf>
    <xf numFmtId="0" fontId="35" fillId="27" borderId="34" xfId="0" applyFont="1" applyFill="1" applyBorder="1" applyAlignment="1">
      <alignment horizontal="center" vertical="center"/>
    </xf>
    <xf numFmtId="0" fontId="35" fillId="27" borderId="40" xfId="0" applyFont="1" applyFill="1" applyBorder="1" applyAlignment="1">
      <alignment horizontal="center" vertical="center"/>
    </xf>
    <xf numFmtId="0" fontId="35" fillId="27" borderId="38" xfId="0" applyFont="1" applyFill="1" applyBorder="1" applyAlignment="1">
      <alignment horizontal="center" vertical="center"/>
    </xf>
    <xf numFmtId="0" fontId="35" fillId="27" borderId="34" xfId="0" applyFont="1" applyFill="1" applyBorder="1" applyAlignment="1">
      <alignment horizontal="center" vertical="center" wrapText="1"/>
    </xf>
    <xf numFmtId="0" fontId="35" fillId="27" borderId="38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/>
    </xf>
    <xf numFmtId="0" fontId="12" fillId="8" borderId="19" xfId="0" applyFont="1" applyFill="1" applyBorder="1" applyAlignment="1">
      <alignment horizontal="center"/>
    </xf>
    <xf numFmtId="1" fontId="0" fillId="7" borderId="16" xfId="0" applyNumberFormat="1" applyFill="1" applyBorder="1" applyAlignment="1">
      <alignment horizontal="center"/>
    </xf>
    <xf numFmtId="1" fontId="0" fillId="7" borderId="17" xfId="0" applyNumberFormat="1" applyFill="1" applyBorder="1" applyAlignment="1">
      <alignment horizontal="center"/>
    </xf>
    <xf numFmtId="0" fontId="12" fillId="8" borderId="75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165" fontId="0" fillId="15" borderId="26" xfId="1" applyNumberFormat="1" applyFont="1" applyFill="1" applyBorder="1" applyAlignment="1">
      <alignment horizontal="center"/>
    </xf>
    <xf numFmtId="165" fontId="0" fillId="15" borderId="0" xfId="1" applyNumberFormat="1" applyFont="1" applyFill="1" applyBorder="1" applyAlignment="1">
      <alignment horizontal="center"/>
    </xf>
    <xf numFmtId="165" fontId="0" fillId="15" borderId="41" xfId="1" applyNumberFormat="1" applyFont="1" applyFill="1" applyBorder="1" applyAlignment="1">
      <alignment horizontal="center"/>
    </xf>
    <xf numFmtId="165" fontId="0" fillId="15" borderId="91" xfId="1" applyNumberFormat="1" applyFont="1" applyFill="1" applyBorder="1" applyAlignment="1">
      <alignment horizontal="center"/>
    </xf>
    <xf numFmtId="2" fontId="0" fillId="17" borderId="113" xfId="1" applyNumberFormat="1" applyFont="1" applyFill="1" applyBorder="1" applyAlignment="1">
      <alignment horizontal="center"/>
    </xf>
    <xf numFmtId="2" fontId="0" fillId="17" borderId="111" xfId="1" applyNumberFormat="1" applyFont="1" applyFill="1" applyBorder="1" applyAlignment="1">
      <alignment horizontal="center"/>
    </xf>
    <xf numFmtId="2" fontId="0" fillId="17" borderId="44" xfId="1" applyNumberFormat="1" applyFont="1" applyFill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mruColors>
      <color rgb="FF66FF66"/>
      <color rgb="FFFFCC66"/>
      <color rgb="FFFF6600"/>
      <color rgb="FFCCFFFF"/>
      <color rgb="FF3399FF"/>
      <color rgb="FF66FF99"/>
      <color rgb="FF99FFCC"/>
      <color rgb="FF3B5C85"/>
      <color rgb="FF00FF00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GEI       </a:t>
            </a:r>
          </a:p>
        </c:rich>
      </c:tx>
      <c:layout>
        <c:manualLayout>
          <c:xMode val="edge"/>
          <c:yMode val="edge"/>
          <c:x val="0.48241719125478766"/>
          <c:y val="1.8419984735950561E-2"/>
        </c:manualLayout>
      </c:layout>
    </c:title>
    <c:plotArea>
      <c:layout>
        <c:manualLayout>
          <c:layoutTarget val="inner"/>
          <c:xMode val="edge"/>
          <c:yMode val="edge"/>
          <c:x val="8.3781933508311493E-2"/>
          <c:y val="0.21545858850976987"/>
          <c:w val="0.52785046987860018"/>
          <c:h val="0.70941605703542354"/>
        </c:manualLayout>
      </c:layout>
      <c:pieChart>
        <c:varyColors val="1"/>
        <c:ser>
          <c:idx val="0"/>
          <c:order val="0"/>
          <c:tx>
            <c:strRef>
              <c:f>Resumen!$K$6</c:f>
              <c:strCache>
                <c:ptCount val="1"/>
                <c:pt idx="0">
                  <c:v>GEI       (kg CO2 eq)</c:v>
                </c:pt>
              </c:strCache>
            </c:strRef>
          </c:tx>
          <c:dPt>
            <c:idx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"/>
            <c:spPr>
              <a:solidFill>
                <a:srgbClr val="FF000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Percent val="1"/>
            <c:showLeaderLines val="1"/>
          </c:dLbls>
          <c:cat>
            <c:strRef>
              <c:f>Resumen!$L$6:$L$8</c:f>
              <c:strCache>
                <c:ptCount val="3"/>
                <c:pt idx="0">
                  <c:v>Pienso</c:v>
                </c:pt>
                <c:pt idx="1">
                  <c:v>Fermentación</c:v>
                </c:pt>
                <c:pt idx="2">
                  <c:v>Estiércol</c:v>
                </c:pt>
              </c:strCache>
            </c:strRef>
          </c:cat>
          <c:val>
            <c:numRef>
              <c:f>Resumen!$M$6:$M$8</c:f>
              <c:numCache>
                <c:formatCode>0.0</c:formatCode>
                <c:ptCount val="3"/>
                <c:pt idx="0">
                  <c:v>5311.2595903501842</c:v>
                </c:pt>
                <c:pt idx="1">
                  <c:v>165.14567660345</c:v>
                </c:pt>
                <c:pt idx="2">
                  <c:v>2159.9078525274012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>
        <c:manualLayout>
          <c:xMode val="edge"/>
          <c:yMode val="edge"/>
          <c:x val="0.66727027195479283"/>
          <c:y val="0.39582472403715563"/>
          <c:w val="0.30881294191788133"/>
          <c:h val="0.29083040151895945"/>
        </c:manualLayout>
      </c:layout>
      <c:txPr>
        <a:bodyPr/>
        <a:lstStyle/>
        <a:p>
          <a:pPr>
            <a:defRPr sz="1100" b="1"/>
          </a:pPr>
          <a:endParaRPr lang="es-ES"/>
        </a:p>
      </c:txPr>
    </c:legend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ES"/>
              <a:t>NH</a:t>
            </a:r>
            <a:r>
              <a:rPr lang="es-ES" baseline="-25000"/>
              <a:t>3</a:t>
            </a:r>
          </a:p>
        </c:rich>
      </c:tx>
      <c:layout>
        <c:manualLayout>
          <c:xMode val="edge"/>
          <c:yMode val="edge"/>
          <c:x val="0.48241719125478788"/>
          <c:y val="1.8419984735950561E-2"/>
        </c:manualLayout>
      </c:layout>
    </c:title>
    <c:plotArea>
      <c:layout>
        <c:manualLayout>
          <c:layoutTarget val="inner"/>
          <c:xMode val="edge"/>
          <c:yMode val="edge"/>
          <c:x val="8.3781933508311493E-2"/>
          <c:y val="0.21545858850976995"/>
          <c:w val="0.52785046987860018"/>
          <c:h val="0.70941605703542354"/>
        </c:manualLayout>
      </c:layout>
      <c:pieChart>
        <c:varyColors val="1"/>
        <c:ser>
          <c:idx val="0"/>
          <c:order val="0"/>
          <c:tx>
            <c:strRef>
              <c:f>Resumen!$K$11</c:f>
              <c:strCache>
                <c:ptCount val="1"/>
                <c:pt idx="0">
                  <c:v>NH3          (kg NH3)</c:v>
                </c:pt>
              </c:strCache>
            </c:strRef>
          </c:tx>
          <c:spPr>
            <a:solidFill>
              <a:srgbClr val="FFFF00"/>
            </a:solidFill>
          </c:spPr>
          <c:dPt>
            <c:idx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Percent val="1"/>
            <c:showLeaderLines val="1"/>
          </c:dLbls>
          <c:cat>
            <c:strRef>
              <c:f>Resumen!$L$11:$L$12</c:f>
              <c:strCache>
                <c:ptCount val="2"/>
                <c:pt idx="0">
                  <c:v>Pienso</c:v>
                </c:pt>
                <c:pt idx="1">
                  <c:v>Estiércol</c:v>
                </c:pt>
              </c:strCache>
            </c:strRef>
          </c:cat>
          <c:val>
            <c:numRef>
              <c:f>Resumen!$M$11:$M$12</c:f>
              <c:numCache>
                <c:formatCode>0.0</c:formatCode>
                <c:ptCount val="2"/>
                <c:pt idx="0">
                  <c:v>10.748165895391089</c:v>
                </c:pt>
                <c:pt idx="1">
                  <c:v>25.699141556032281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>
        <c:manualLayout>
          <c:xMode val="edge"/>
          <c:yMode val="edge"/>
          <c:x val="0.66727027195479305"/>
          <c:y val="0.39582472403715591"/>
          <c:w val="0.30881294191788167"/>
          <c:h val="0.20572401854023586"/>
        </c:manualLayout>
      </c:layout>
      <c:txPr>
        <a:bodyPr/>
        <a:lstStyle/>
        <a:p>
          <a:pPr>
            <a:defRPr sz="1100" b="1" baseline="0"/>
          </a:pPr>
          <a:endParaRPr lang="es-ES"/>
        </a:p>
      </c:txPr>
    </c:legend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561976</xdr:colOff>
      <xdr:row>0</xdr:row>
      <xdr:rowOff>0</xdr:rowOff>
    </xdr:from>
    <xdr:to>
      <xdr:col>9</xdr:col>
      <xdr:colOff>47626</xdr:colOff>
      <xdr:row>18</xdr:row>
      <xdr:rowOff>61483</xdr:rowOff>
    </xdr:to>
    <xdr:pic>
      <xdr:nvPicPr>
        <xdr:cNvPr id="3073" name="Picture 1" descr="http://www.revistaialimentos.com.co/uploads/images/ediciones/edicion31/posible-desabastecimiento-de-carne-de-cerdo-en-el-mundo-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33651" y="0"/>
          <a:ext cx="4781550" cy="3842908"/>
        </a:xfrm>
        <a:prstGeom prst="rect">
          <a:avLst/>
        </a:prstGeom>
        <a:noFill/>
      </xdr:spPr>
    </xdr:pic>
    <xdr:clientData/>
  </xdr:twoCellAnchor>
  <xdr:twoCellAnchor>
    <xdr:from>
      <xdr:col>3</xdr:col>
      <xdr:colOff>257175</xdr:colOff>
      <xdr:row>19</xdr:row>
      <xdr:rowOff>19050</xdr:rowOff>
    </xdr:from>
    <xdr:to>
      <xdr:col>7</xdr:col>
      <xdr:colOff>190500</xdr:colOff>
      <xdr:row>33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723901</xdr:colOff>
      <xdr:row>19</xdr:row>
      <xdr:rowOff>47625</xdr:rowOff>
    </xdr:from>
    <xdr:to>
      <xdr:col>13</xdr:col>
      <xdr:colOff>352426</xdr:colOff>
      <xdr:row>33</xdr:row>
      <xdr:rowOff>47625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G6" sqref="G6"/>
    </sheetView>
  </sheetViews>
  <sheetFormatPr baseColWidth="10" defaultRowHeight="15"/>
  <cols>
    <col min="1" max="1" width="41.85546875" customWidth="1"/>
    <col min="2" max="2" width="14" customWidth="1"/>
    <col min="3" max="3" width="15.7109375" customWidth="1"/>
    <col min="4" max="4" width="14" customWidth="1"/>
    <col min="5" max="5" width="14.28515625" customWidth="1"/>
    <col min="6" max="6" width="9.28515625" customWidth="1"/>
  </cols>
  <sheetData>
    <row r="1" spans="1:5" ht="21.75" customHeight="1" thickBot="1">
      <c r="A1" s="1" t="s">
        <v>0</v>
      </c>
      <c r="B1" s="2"/>
      <c r="C1" s="2"/>
      <c r="D1" s="2"/>
      <c r="E1" s="2"/>
    </row>
    <row r="2" spans="1:5" ht="17.25" thickTop="1" thickBot="1">
      <c r="A2" s="144" t="s">
        <v>1</v>
      </c>
      <c r="B2" s="141" t="s">
        <v>190</v>
      </c>
      <c r="C2" s="141" t="s">
        <v>184</v>
      </c>
      <c r="D2" s="142" t="s">
        <v>185</v>
      </c>
      <c r="E2" s="143" t="s">
        <v>186</v>
      </c>
    </row>
    <row r="3" spans="1:5">
      <c r="A3" s="380" t="s">
        <v>22</v>
      </c>
      <c r="B3" s="365">
        <v>1000</v>
      </c>
      <c r="C3" s="365"/>
      <c r="D3" s="10"/>
      <c r="E3" s="18"/>
    </row>
    <row r="4" spans="1:5">
      <c r="A4" s="380" t="s">
        <v>28</v>
      </c>
      <c r="B4" s="365">
        <v>76.680000000000007</v>
      </c>
      <c r="C4" s="365">
        <v>93.72</v>
      </c>
      <c r="D4" s="365">
        <v>85.2</v>
      </c>
      <c r="E4" s="365">
        <v>76.680000000000007</v>
      </c>
    </row>
    <row r="5" spans="1:5">
      <c r="A5" s="380" t="s">
        <v>23</v>
      </c>
      <c r="B5" s="366">
        <v>0.77</v>
      </c>
      <c r="C5" s="366">
        <v>0.81</v>
      </c>
      <c r="D5" s="366">
        <v>0.79</v>
      </c>
      <c r="E5" s="366">
        <v>0.77</v>
      </c>
    </row>
    <row r="6" spans="1:5">
      <c r="A6" s="380" t="s">
        <v>33</v>
      </c>
      <c r="B6" s="378">
        <v>5.11E-2</v>
      </c>
      <c r="C6" s="378">
        <v>3.1099999999999999E-2</v>
      </c>
      <c r="D6" s="378">
        <v>4.1099999999999998E-2</v>
      </c>
      <c r="E6" s="378">
        <v>5.11E-2</v>
      </c>
    </row>
    <row r="7" spans="1:5">
      <c r="A7" s="380" t="s">
        <v>32</v>
      </c>
      <c r="B7" s="377">
        <v>0.17699999999999999</v>
      </c>
      <c r="C7" s="377">
        <v>0.16800000000000001</v>
      </c>
      <c r="D7" s="377">
        <v>0.17399999999999999</v>
      </c>
      <c r="E7" s="377">
        <v>0.17699999999999999</v>
      </c>
    </row>
    <row r="8" spans="1:5">
      <c r="A8" s="380" t="s">
        <v>73</v>
      </c>
      <c r="B8" s="378">
        <v>4.8000000000000001E-2</v>
      </c>
      <c r="C8" s="378">
        <v>2.8000000000000001E-2</v>
      </c>
      <c r="D8" s="378">
        <v>3.7999999999999999E-2</v>
      </c>
      <c r="E8" s="378">
        <v>4.8000000000000001E-2</v>
      </c>
    </row>
    <row r="9" spans="1:5">
      <c r="A9" s="381" t="s">
        <v>29</v>
      </c>
      <c r="B9" s="365">
        <v>1.35</v>
      </c>
      <c r="C9" s="365">
        <v>1.65</v>
      </c>
      <c r="D9" s="365">
        <v>1.5</v>
      </c>
      <c r="E9" s="365">
        <v>1.35</v>
      </c>
    </row>
    <row r="10" spans="1:5">
      <c r="A10" s="380" t="s">
        <v>30</v>
      </c>
      <c r="B10" s="365">
        <v>23.75</v>
      </c>
      <c r="C10" s="365">
        <v>24.26</v>
      </c>
      <c r="D10" s="365">
        <v>23.96</v>
      </c>
      <c r="E10" s="365">
        <v>23.75</v>
      </c>
    </row>
    <row r="11" spans="1:5">
      <c r="A11" s="382" t="s">
        <v>31</v>
      </c>
      <c r="B11" s="365">
        <v>5.76</v>
      </c>
      <c r="C11" s="365">
        <v>7.04</v>
      </c>
      <c r="D11" s="365">
        <v>6.4</v>
      </c>
      <c r="E11" s="365">
        <v>5.76</v>
      </c>
    </row>
    <row r="12" spans="1:5">
      <c r="A12" s="382" t="s">
        <v>80</v>
      </c>
      <c r="B12" s="365">
        <v>0.58099999999999996</v>
      </c>
      <c r="C12" s="365">
        <v>0.71</v>
      </c>
      <c r="D12" s="365">
        <v>0.64500000000000002</v>
      </c>
      <c r="E12" s="365">
        <v>0.58099999999999996</v>
      </c>
    </row>
    <row r="13" spans="1:5">
      <c r="A13" s="383" t="s">
        <v>37</v>
      </c>
      <c r="B13" s="365">
        <v>12.49</v>
      </c>
      <c r="C13" s="365">
        <v>14.44</v>
      </c>
      <c r="D13" s="365">
        <v>12.98</v>
      </c>
      <c r="E13" s="365">
        <v>12.49</v>
      </c>
    </row>
    <row r="14" spans="1:5">
      <c r="A14" s="383" t="s">
        <v>27</v>
      </c>
      <c r="B14" s="386">
        <f t="shared" ref="B14:E14" si="0">B13*B22</f>
        <v>18.610099999999999</v>
      </c>
      <c r="C14" s="386">
        <f>C13*C22</f>
        <v>32.634399999999992</v>
      </c>
      <c r="D14" s="386">
        <f t="shared" si="0"/>
        <v>26.608999999999998</v>
      </c>
      <c r="E14" s="386">
        <f t="shared" si="0"/>
        <v>18.610099999999999</v>
      </c>
    </row>
    <row r="15" spans="1:5">
      <c r="A15" s="383" t="s">
        <v>70</v>
      </c>
      <c r="B15" s="378">
        <v>0.8367</v>
      </c>
      <c r="C15" s="378">
        <v>0.88990000000000002</v>
      </c>
      <c r="D15" s="378">
        <v>0.86409999999999998</v>
      </c>
      <c r="E15" s="378">
        <v>0.8367</v>
      </c>
    </row>
    <row r="16" spans="1:5">
      <c r="A16" s="383" t="s">
        <v>24</v>
      </c>
      <c r="B16" s="378">
        <v>0.45429999999999998</v>
      </c>
      <c r="C16" s="378">
        <v>0.47799999999999998</v>
      </c>
      <c r="D16" s="378">
        <v>0.4657</v>
      </c>
      <c r="E16" s="378">
        <v>0.45429999999999998</v>
      </c>
    </row>
    <row r="17" spans="1:5">
      <c r="A17" s="383" t="s">
        <v>25</v>
      </c>
      <c r="B17" s="378">
        <v>3.0999999999999999E-3</v>
      </c>
      <c r="C17" s="378">
        <v>1.4E-3</v>
      </c>
      <c r="D17" s="378">
        <v>2.7000000000000001E-3</v>
      </c>
      <c r="E17" s="378">
        <v>3.0999999999999999E-3</v>
      </c>
    </row>
    <row r="18" spans="1:5">
      <c r="A18" s="382" t="s">
        <v>26</v>
      </c>
      <c r="B18" s="365">
        <v>238.5</v>
      </c>
      <c r="C18" s="365">
        <v>291.5</v>
      </c>
      <c r="D18" s="365">
        <v>265</v>
      </c>
      <c r="E18" s="365">
        <v>238.5</v>
      </c>
    </row>
    <row r="19" spans="1:5">
      <c r="A19" s="382" t="s">
        <v>79</v>
      </c>
      <c r="B19" s="365">
        <v>202.5</v>
      </c>
      <c r="C19" s="365">
        <v>247.5</v>
      </c>
      <c r="D19" s="365">
        <v>225</v>
      </c>
      <c r="E19" s="365">
        <v>202.5</v>
      </c>
    </row>
    <row r="20" spans="1:5" ht="16.5" customHeight="1">
      <c r="A20" s="384" t="s">
        <v>34</v>
      </c>
      <c r="B20" s="365">
        <v>19.059999999999999</v>
      </c>
      <c r="C20" s="365">
        <v>19.059999999999999</v>
      </c>
      <c r="D20" s="365">
        <v>19.059999999999999</v>
      </c>
      <c r="E20" s="365">
        <v>19.059999999999999</v>
      </c>
    </row>
    <row r="21" spans="1:5" ht="16.5" customHeight="1">
      <c r="A21" s="384" t="s">
        <v>72</v>
      </c>
      <c r="B21" s="365">
        <v>9.43</v>
      </c>
      <c r="C21" s="365">
        <v>7.16</v>
      </c>
      <c r="D21" s="365">
        <v>8.5399999999999991</v>
      </c>
      <c r="E21" s="365">
        <v>9.43</v>
      </c>
    </row>
    <row r="22" spans="1:5" ht="16.5" customHeight="1">
      <c r="A22" s="384" t="s">
        <v>75</v>
      </c>
      <c r="B22" s="365">
        <v>1.49</v>
      </c>
      <c r="C22" s="365">
        <v>2.2599999999999998</v>
      </c>
      <c r="D22" s="365">
        <v>2.0499999999999998</v>
      </c>
      <c r="E22" s="365">
        <v>1.49</v>
      </c>
    </row>
    <row r="23" spans="1:5" ht="16.5" customHeight="1">
      <c r="A23" s="384" t="s">
        <v>76</v>
      </c>
      <c r="B23" s="378">
        <v>2.6200000000000001E-2</v>
      </c>
      <c r="C23" s="378">
        <v>1.37E-2</v>
      </c>
      <c r="D23" s="378">
        <v>1.8700000000000001E-2</v>
      </c>
      <c r="E23" s="378">
        <v>2.6200000000000001E-2</v>
      </c>
    </row>
    <row r="24" spans="1:5" ht="16.5" customHeight="1">
      <c r="A24" s="384" t="s">
        <v>74</v>
      </c>
      <c r="B24" s="366">
        <v>0.90349999999999997</v>
      </c>
      <c r="C24" s="366">
        <v>0.8</v>
      </c>
      <c r="D24" s="366">
        <v>0.82299999999999995</v>
      </c>
      <c r="E24" s="366">
        <v>0.90349999999999997</v>
      </c>
    </row>
    <row r="25" spans="1:5" ht="16.5" customHeight="1" thickBot="1">
      <c r="A25" s="385" t="s">
        <v>71</v>
      </c>
      <c r="B25" s="379">
        <v>279.79000000000002</v>
      </c>
      <c r="C25" s="379">
        <v>259.83999999999997</v>
      </c>
      <c r="D25" s="379">
        <v>270.73</v>
      </c>
      <c r="E25" s="379">
        <v>279.79000000000002</v>
      </c>
    </row>
    <row r="26" spans="1:5" ht="15.75" thickTop="1"/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H9" sqref="H9"/>
    </sheetView>
  </sheetViews>
  <sheetFormatPr baseColWidth="10" defaultRowHeight="15"/>
  <cols>
    <col min="1" max="1" width="7.5703125" customWidth="1"/>
    <col min="2" max="2" width="46.140625" customWidth="1"/>
    <col min="4" max="4" width="11.5703125" customWidth="1"/>
  </cols>
  <sheetData>
    <row r="1" spans="1:6" ht="21.75" customHeight="1" thickTop="1" thickBot="1">
      <c r="A1" s="4" t="s">
        <v>35</v>
      </c>
      <c r="B1" s="5" t="s">
        <v>13</v>
      </c>
      <c r="C1" s="5" t="s">
        <v>153</v>
      </c>
      <c r="D1" s="269" t="s">
        <v>152</v>
      </c>
    </row>
    <row r="2" spans="1:6" ht="16.5" thickTop="1">
      <c r="A2" s="12" t="s">
        <v>2</v>
      </c>
      <c r="B2" s="8" t="s">
        <v>15</v>
      </c>
      <c r="C2" s="119">
        <f>'Estructura granja'!C3/(1-Datos!B8)*1.03</f>
        <v>14.109712742687059</v>
      </c>
      <c r="D2" s="270">
        <f>C2*('Necesidades energéticas'!F2+7)/365</f>
        <v>2.8301639416120774</v>
      </c>
    </row>
    <row r="3" spans="1:6" ht="15.75">
      <c r="A3" s="13" t="s">
        <v>3</v>
      </c>
      <c r="B3" s="7" t="s">
        <v>14</v>
      </c>
      <c r="C3" s="120">
        <f>Datos!B3/(Datos!B4)</f>
        <v>13.041210224308815</v>
      </c>
      <c r="D3" s="271">
        <f>C3*('Necesidades energéticas'!F3+7)/365</f>
        <v>3.8374671426811831</v>
      </c>
    </row>
    <row r="4" spans="1:6" ht="15.75">
      <c r="A4" s="13" t="s">
        <v>4</v>
      </c>
      <c r="B4" s="7" t="s">
        <v>18</v>
      </c>
      <c r="C4" s="120">
        <f>(C10+C7)*Datos!B16</f>
        <v>0.5136565467495241</v>
      </c>
      <c r="D4" s="271">
        <f>C4*'Necesidades energéticas'!F4/365</f>
        <v>0.26713985566200388</v>
      </c>
    </row>
    <row r="5" spans="1:6" ht="15.75">
      <c r="A5" s="13" t="s">
        <v>5</v>
      </c>
      <c r="B5" s="7" t="s">
        <v>48</v>
      </c>
      <c r="C5" s="120">
        <f>C6/(1-Datos!B23)</f>
        <v>0.8547281684198168</v>
      </c>
      <c r="D5" s="271">
        <f>C5*'Necesidades energéticas'!F5/365</f>
        <v>0.26695619506810714</v>
      </c>
    </row>
    <row r="6" spans="1:6" ht="15.75">
      <c r="A6" s="13" t="s">
        <v>6</v>
      </c>
      <c r="B6" s="59" t="s">
        <v>51</v>
      </c>
      <c r="C6" s="120">
        <f>('Estructura granja'!C2/(1-Datos!B7)/Datos!B14)*(Datos!B24)</f>
        <v>0.83233429040721763</v>
      </c>
      <c r="D6" s="271">
        <f>C6*('Necesidades energéticas'!F6+7)/365</f>
        <v>7.0121313506909436E-2</v>
      </c>
    </row>
    <row r="7" spans="1:6" ht="15.75">
      <c r="A7" s="13" t="s">
        <v>7</v>
      </c>
      <c r="B7" s="7" t="s">
        <v>52</v>
      </c>
      <c r="C7" s="120">
        <f>C5/Datos!B15</f>
        <v>1.0215467532207683</v>
      </c>
      <c r="D7" s="271">
        <f>C7*'Necesidades energéticas'!F7/365</f>
        <v>2.6392290090059847E-2</v>
      </c>
    </row>
    <row r="8" spans="1:6" ht="15.75">
      <c r="A8" s="13" t="s">
        <v>8</v>
      </c>
      <c r="B8" s="7" t="s">
        <v>49</v>
      </c>
      <c r="C8" s="120">
        <f>C9/(1-Datos!B23)</f>
        <v>9.1290833705049632E-2</v>
      </c>
      <c r="D8" s="271">
        <f>C8*'Necesidades energéticas'!F8/365</f>
        <v>2.8512753540755227E-2</v>
      </c>
    </row>
    <row r="9" spans="1:6" ht="16.5" thickBot="1">
      <c r="A9" s="13" t="s">
        <v>9</v>
      </c>
      <c r="B9" s="7" t="s">
        <v>50</v>
      </c>
      <c r="C9" s="121">
        <f>'Estructura granja'!C2/(1-Datos!B7)/Datos!B14*(1-Datos!B24)</f>
        <v>8.8899013861977336E-2</v>
      </c>
      <c r="D9" s="271">
        <f>C9*('Necesidades energéticas'!F9+7)/365</f>
        <v>7.4894374691939804E-3</v>
      </c>
    </row>
    <row r="10" spans="1:6" ht="17.25" thickTop="1" thickBot="1">
      <c r="A10" s="13" t="s">
        <v>10</v>
      </c>
      <c r="B10" s="59" t="s">
        <v>53</v>
      </c>
      <c r="C10" s="121">
        <f>C8/Datos!B15</f>
        <v>0.10910820330470854</v>
      </c>
      <c r="D10" s="271">
        <f>C10*'Necesidades energéticas'!F10/365</f>
        <v>2.8188776908586338E-3</v>
      </c>
      <c r="F10" s="6"/>
    </row>
    <row r="11" spans="1:6" ht="16.5" thickTop="1">
      <c r="A11" s="13" t="s">
        <v>11</v>
      </c>
      <c r="B11" s="59" t="s">
        <v>17</v>
      </c>
      <c r="C11" s="121">
        <f>C12*Datos!B16</f>
        <v>1.5923352949235247E-3</v>
      </c>
      <c r="D11" s="271">
        <f>C11*'Necesidades energéticas'!F11/365</f>
        <v>8.281335525522121E-4</v>
      </c>
    </row>
    <row r="12" spans="1:6" ht="16.5" thickBot="1">
      <c r="A12" s="14" t="s">
        <v>12</v>
      </c>
      <c r="B12" s="9" t="s">
        <v>16</v>
      </c>
      <c r="C12" s="122">
        <f>(C7+C10)*Datos!B17</f>
        <v>3.5050303652289783E-3</v>
      </c>
      <c r="D12" s="272">
        <f>C12*'Necesidades energéticas'!F12/365</f>
        <v>3.5050303652289787E-3</v>
      </c>
    </row>
    <row r="13" spans="1:6" ht="15.75" thickTop="1">
      <c r="D13" s="273"/>
    </row>
    <row r="14" spans="1:6" ht="15.75" thickBot="1">
      <c r="D14" s="273"/>
    </row>
    <row r="15" spans="1:6" ht="17.25" thickTop="1" thickBot="1">
      <c r="B15" s="61" t="s">
        <v>19</v>
      </c>
      <c r="C15" s="62">
        <f>SUM(C2:C12)</f>
        <v>30.667584142325083</v>
      </c>
      <c r="D15" s="274">
        <f>SUM(D2:D12)</f>
        <v>7.3413949712389295</v>
      </c>
    </row>
    <row r="16" spans="1:6" ht="16.5" thickBot="1">
      <c r="B16" s="63" t="s">
        <v>20</v>
      </c>
      <c r="C16" s="60">
        <f>SUM(C2:C3)</f>
        <v>27.150922966995871</v>
      </c>
      <c r="D16" s="275">
        <f>SUM(D2:D3)</f>
        <v>6.6676310842932605</v>
      </c>
    </row>
    <row r="17" spans="2:4" ht="16.5" thickBot="1">
      <c r="B17" s="64" t="s">
        <v>21</v>
      </c>
      <c r="C17" s="65">
        <f>SUM(C9:C12)</f>
        <v>0.20310458282683838</v>
      </c>
      <c r="D17" s="276">
        <f>SUM(D4:D12)</f>
        <v>0.67376388694566924</v>
      </c>
    </row>
    <row r="18" spans="2:4" ht="15.75" thickTop="1"/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N28"/>
  <sheetViews>
    <sheetView topLeftCell="B1" zoomScaleNormal="100" workbookViewId="0">
      <pane xSplit="1" topLeftCell="C1" activePane="topRight" state="frozen"/>
      <selection activeCell="B1" sqref="B1"/>
      <selection pane="topRight" activeCell="D5" sqref="D5"/>
    </sheetView>
  </sheetViews>
  <sheetFormatPr baseColWidth="10" defaultRowHeight="15"/>
  <cols>
    <col min="1" max="1" width="7.42578125" customWidth="1"/>
    <col min="2" max="2" width="42.42578125" customWidth="1"/>
    <col min="3" max="3" width="12.140625" customWidth="1"/>
    <col min="4" max="4" width="11.42578125" customWidth="1"/>
    <col min="5" max="5" width="13.140625" customWidth="1"/>
    <col min="6" max="6" width="20.7109375" customWidth="1"/>
    <col min="7" max="7" width="9.42578125" customWidth="1"/>
    <col min="8" max="8" width="9.140625" customWidth="1"/>
    <col min="9" max="9" width="10.85546875" customWidth="1"/>
    <col min="10" max="10" width="7.7109375" customWidth="1"/>
    <col min="11" max="11" width="8.140625" customWidth="1"/>
    <col min="12" max="12" width="7.28515625" customWidth="1"/>
    <col min="13" max="13" width="7.85546875" customWidth="1"/>
    <col min="14" max="14" width="11.85546875" customWidth="1"/>
    <col min="15" max="15" width="12.85546875" customWidth="1"/>
    <col min="16" max="16" width="11.7109375" customWidth="1"/>
    <col min="17" max="17" width="15.5703125" customWidth="1"/>
    <col min="18" max="19" width="12.5703125" customWidth="1"/>
    <col min="20" max="20" width="14.140625" customWidth="1"/>
  </cols>
  <sheetData>
    <row r="1" spans="1:92" s="17" customFormat="1" ht="31.5" customHeight="1" thickTop="1" thickBot="1">
      <c r="A1" s="19" t="s">
        <v>35</v>
      </c>
      <c r="B1" s="19" t="s">
        <v>13</v>
      </c>
      <c r="C1" s="166" t="s">
        <v>89</v>
      </c>
      <c r="D1" s="166" t="s">
        <v>90</v>
      </c>
      <c r="E1" s="166" t="s">
        <v>91</v>
      </c>
      <c r="F1" s="166" t="s">
        <v>92</v>
      </c>
      <c r="G1" s="166" t="s">
        <v>146</v>
      </c>
      <c r="H1" s="166" t="s">
        <v>99</v>
      </c>
      <c r="I1" s="251" t="s">
        <v>93</v>
      </c>
      <c r="J1" s="167" t="s">
        <v>95</v>
      </c>
      <c r="K1" s="166" t="s">
        <v>96</v>
      </c>
      <c r="L1" s="168" t="s">
        <v>97</v>
      </c>
      <c r="M1" s="166" t="s">
        <v>98</v>
      </c>
      <c r="N1" s="166" t="s">
        <v>100</v>
      </c>
      <c r="O1" s="166" t="s">
        <v>101</v>
      </c>
      <c r="P1" s="166" t="s">
        <v>131</v>
      </c>
      <c r="Q1" s="166" t="s">
        <v>102</v>
      </c>
      <c r="R1" s="166" t="s">
        <v>103</v>
      </c>
      <c r="S1" s="166" t="s">
        <v>129</v>
      </c>
      <c r="T1" s="166" t="s">
        <v>94</v>
      </c>
      <c r="U1" s="146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</row>
    <row r="2" spans="1:92" ht="15.75" thickTop="1">
      <c r="A2" s="58" t="s">
        <v>2</v>
      </c>
      <c r="B2" s="137" t="s">
        <v>15</v>
      </c>
      <c r="C2" s="20">
        <f>Datos!B11</f>
        <v>5.76</v>
      </c>
      <c r="D2" s="20">
        <v>50</v>
      </c>
      <c r="E2" s="37">
        <f>AVERAGE(C2:D2)</f>
        <v>27.88</v>
      </c>
      <c r="F2" s="118">
        <f>(D2-C2)/G2</f>
        <v>66.21267679413306</v>
      </c>
      <c r="G2" s="135">
        <f>Datos!B12*1.15</f>
        <v>0.66814999999999991</v>
      </c>
      <c r="H2" s="32">
        <f>0.86248*E2^0.6</f>
        <v>6.3522077699450739</v>
      </c>
      <c r="I2" s="36">
        <f t="shared" ref="I2:I8" si="0">26-0.061*E2</f>
        <v>24.299320000000002</v>
      </c>
      <c r="J2" s="32">
        <f>IF(Datos!B20&lt;'Necesidades energéticas'!I2,(0.06845418+0.003684384*'Necesidades energéticas'!E2)*('Necesidades energéticas'!I2-Datos!B20),0)</f>
        <v>0.89683958415277487</v>
      </c>
      <c r="K2" s="35">
        <f>IF(G2&gt;0,((53.5*0.11*G2)+(50.6*0.13*G2)),0)</f>
        <v>8.3271534499999991</v>
      </c>
      <c r="L2" s="23">
        <v>0</v>
      </c>
      <c r="M2" s="20">
        <v>0</v>
      </c>
      <c r="N2" s="32">
        <f>SUM(H2,J2:M2)</f>
        <v>15.576200804097848</v>
      </c>
      <c r="O2" s="133">
        <f>N2*F2*'Estructura granja'!C2</f>
        <v>14551.938647241752</v>
      </c>
      <c r="P2" s="133">
        <f>S2*Piensos!O18</f>
        <v>18677.891934164745</v>
      </c>
      <c r="Q2" s="133">
        <f>N2/Piensos!M18*1.1</f>
        <v>1.284880003796087</v>
      </c>
      <c r="R2" s="133">
        <f>Q2*F2*'Estructura granja'!C2</f>
        <v>1200.3886711186592</v>
      </c>
      <c r="S2" s="133">
        <f>R2*(1-Piensos!Q18)</f>
        <v>1080.7470542693936</v>
      </c>
      <c r="T2" s="134">
        <f>R2*Piensos!T18</f>
        <v>930.44863648206058</v>
      </c>
    </row>
    <row r="3" spans="1:92">
      <c r="A3" s="58" t="s">
        <v>3</v>
      </c>
      <c r="B3" s="138" t="s">
        <v>14</v>
      </c>
      <c r="C3" s="21">
        <f>D2</f>
        <v>50</v>
      </c>
      <c r="D3" s="36">
        <f>Datos!B4/Datos!B5</f>
        <v>99.584415584415595</v>
      </c>
      <c r="E3" s="36">
        <f t="shared" ref="E3:E12" si="1">AVERAGE(C3:D3)</f>
        <v>74.79220779220779</v>
      </c>
      <c r="F3" s="118">
        <f>(D3-C3)/G3</f>
        <v>100.4037978827895</v>
      </c>
      <c r="G3" s="140">
        <f>Datos!B12*0.85</f>
        <v>0.49384999999999996</v>
      </c>
      <c r="H3" s="32">
        <f>0.86248*E3^0.6</f>
        <v>11.483197783132258</v>
      </c>
      <c r="I3" s="36">
        <f t="shared" si="0"/>
        <v>21.437675324675325</v>
      </c>
      <c r="J3" s="32">
        <f>IF(Datos!B20&lt;'Necesidades energéticas'!I3,(0.06845418+0.003684384*'Necesidades energéticas'!E3)*('Necesidades energéticas'!I3-Datos!B20),0)</f>
        <v>0.81796166829357397</v>
      </c>
      <c r="K3" s="35">
        <f>IF(G3&gt;0,((53.5*0.222*G3)+(50.6*0.157*G3)),0)</f>
        <v>9.7886996199999992</v>
      </c>
      <c r="L3" s="23">
        <v>0</v>
      </c>
      <c r="M3" s="21">
        <v>0</v>
      </c>
      <c r="N3" s="32">
        <f t="shared" ref="N3:N12" si="2">SUM(H3,J3:M3)</f>
        <v>22.089859071425831</v>
      </c>
      <c r="O3" s="35">
        <f>N3*F3*'Estructura granja'!C3</f>
        <v>28924.175084334162</v>
      </c>
      <c r="P3" s="35">
        <f>S3*Piensos!X18</f>
        <v>40580.985034272402</v>
      </c>
      <c r="Q3" s="35">
        <f>N3/Piensos!V18*1.1</f>
        <v>1.8250564200811787</v>
      </c>
      <c r="R3" s="35">
        <f>Q3*F3*'Estructura granja'!C3</f>
        <v>2389.7052155257961</v>
      </c>
      <c r="S3" s="35">
        <f>R3*(1-Piensos!Z18)</f>
        <v>2158.776097043617</v>
      </c>
      <c r="T3" s="134">
        <f>R3*Piensos!AC18</f>
        <v>661.09613932079424</v>
      </c>
    </row>
    <row r="4" spans="1:92">
      <c r="A4" s="58" t="s">
        <v>4</v>
      </c>
      <c r="B4" s="138" t="s">
        <v>18</v>
      </c>
      <c r="C4" s="21">
        <f>D2</f>
        <v>50</v>
      </c>
      <c r="D4" s="36">
        <f>0.65*Datos!B19</f>
        <v>131.625</v>
      </c>
      <c r="E4" s="36">
        <f>AVERAGE(C4:D4)</f>
        <v>90.8125</v>
      </c>
      <c r="F4" s="68">
        <f>Datos!B25-Datos!B10-'Necesidades energéticas'!F2</f>
        <v>189.82732320586695</v>
      </c>
      <c r="G4" s="66">
        <f>(D4-C4)/F4</f>
        <v>0.42999605442193389</v>
      </c>
      <c r="H4" s="32">
        <f>0.86248*E4^0.6</f>
        <v>12.901387271952848</v>
      </c>
      <c r="I4" s="36">
        <f t="shared" si="0"/>
        <v>20.460437500000001</v>
      </c>
      <c r="J4" s="32">
        <f>IF(Datos!B20&lt;'Necesidades energéticas'!I4,(0.06845418+0.003684384*'Necesidades energéticas'!E4)*('Necesidades energéticas'!I4-Datos!B20),0)</f>
        <v>0.56443555380712607</v>
      </c>
      <c r="K4" s="35">
        <f>IF(G4&gt;0,((53.5*0.241*G4)+(50.6*0.153*G4)),0)</f>
        <v>8.8730975818129334</v>
      </c>
      <c r="L4" s="68">
        <v>0</v>
      </c>
      <c r="M4" s="21">
        <v>0</v>
      </c>
      <c r="N4" s="32">
        <f t="shared" si="2"/>
        <v>22.338920407572907</v>
      </c>
      <c r="O4" s="35">
        <f>N4*F4*'Estructura granja'!C4</f>
        <v>2178.1798302632669</v>
      </c>
      <c r="P4" s="35">
        <f>S4*Piensos!X18</f>
        <v>3056.0139688043396</v>
      </c>
      <c r="Q4" s="35">
        <f>N4/Piensos!V18*1.1</f>
        <v>1.8456337804463789</v>
      </c>
      <c r="R4" s="35">
        <f>Q4*F4*'Estructura granja'!C4</f>
        <v>179.96045472537793</v>
      </c>
      <c r="S4" s="35">
        <f>R4*(1-Piensos!Z18)</f>
        <v>162.56997957330367</v>
      </c>
      <c r="T4" s="134">
        <f>R4*Piensos!AC18</f>
        <v>49.784869312085938</v>
      </c>
    </row>
    <row r="5" spans="1:92">
      <c r="A5" s="58" t="s">
        <v>5</v>
      </c>
      <c r="B5" s="138" t="s">
        <v>48</v>
      </c>
      <c r="C5" s="36">
        <f>D4</f>
        <v>131.625</v>
      </c>
      <c r="D5" s="36">
        <f>C5+21</f>
        <v>152.625</v>
      </c>
      <c r="E5" s="36">
        <f t="shared" si="1"/>
        <v>142.125</v>
      </c>
      <c r="F5" s="23">
        <f>114</f>
        <v>114</v>
      </c>
      <c r="G5" s="66">
        <f>(D5-C5)/F5</f>
        <v>0.18421052631578946</v>
      </c>
      <c r="H5" s="32">
        <f>0.43752*E5^0.75</f>
        <v>18.009463218536396</v>
      </c>
      <c r="I5" s="36">
        <f t="shared" si="0"/>
        <v>17.330375</v>
      </c>
      <c r="J5" s="32">
        <f>IF(Datos!B20&lt;'Necesidades energéticas'!I5,(0.01088568*'Necesidades energéticas'!E5^0.75)*('Necesidades energéticas'!I5-Datos!B20),0)</f>
        <v>0</v>
      </c>
      <c r="K5" s="66">
        <f>IF(G5&gt;0,((53.5*0.241*G5)+(50.6*0.153*G5)),0)</f>
        <v>3.8012394736842103</v>
      </c>
      <c r="L5" s="23">
        <v>0</v>
      </c>
      <c r="M5" s="35">
        <f>10.88568*Datos!B9*Datos!B13/365+0.774558*(F5-80)/F5</f>
        <v>0.73388220664455672</v>
      </c>
      <c r="N5" s="32">
        <f t="shared" si="2"/>
        <v>22.54458489886516</v>
      </c>
      <c r="O5" s="35">
        <f>N5*F5*'Estructura granja'!C5</f>
        <v>2196.7220604566969</v>
      </c>
      <c r="P5" s="35">
        <f>S5*Piensos!AG18</f>
        <v>3198.9853079181757</v>
      </c>
      <c r="Q5" s="66">
        <f>N5/Piensos!AE18*1.1</f>
        <v>2.0602260014011073</v>
      </c>
      <c r="R5" s="35">
        <f>Q5*F5*'Estructura granja'!C5</f>
        <v>200.74638442476345</v>
      </c>
      <c r="S5" s="35">
        <f>R5*(1-Piensos!AI18)</f>
        <v>181.43154209012147</v>
      </c>
      <c r="T5" s="134">
        <f>R5*Piensos!AL18</f>
        <v>40.111648520862161</v>
      </c>
    </row>
    <row r="6" spans="1:92">
      <c r="A6" s="58" t="s">
        <v>6</v>
      </c>
      <c r="B6" s="138" t="s">
        <v>51</v>
      </c>
      <c r="C6" s="36">
        <f>D5-17</f>
        <v>135.625</v>
      </c>
      <c r="D6" s="36">
        <f>C6</f>
        <v>135.625</v>
      </c>
      <c r="E6" s="36">
        <f t="shared" si="1"/>
        <v>135.625</v>
      </c>
      <c r="F6" s="23">
        <f>Datos!B10</f>
        <v>23.75</v>
      </c>
      <c r="G6" s="66">
        <f>(D6-C6)/F6</f>
        <v>0</v>
      </c>
      <c r="H6" s="32">
        <f>0.46892*E6^0.75</f>
        <v>18.636037243859271</v>
      </c>
      <c r="I6" s="36">
        <f t="shared" si="0"/>
        <v>17.726875</v>
      </c>
      <c r="J6" s="32">
        <f>IF(Datos!B20&lt;'Necesidades energéticas'!I6,(0.01423512*'Necesidades energéticas'!E6^0.75)*('Necesidades energéticas'!I6-Datos!B20),0)</f>
        <v>0</v>
      </c>
      <c r="K6" s="66">
        <f>IF(G6&gt;0,((53.5*0.241*G6)+(50.6*0.153*G6)),0)</f>
        <v>0</v>
      </c>
      <c r="L6" s="67">
        <f>0.0285958*(Datos!B11-Datos!B9)*1000/Datos!B10*Datos!B13*(1-Datos!B7)-0.52335*(Datos!B13*(1-Datos!B7))</f>
        <v>49.201094166807792</v>
      </c>
      <c r="M6" s="21">
        <v>0</v>
      </c>
      <c r="N6" s="32">
        <f t="shared" si="2"/>
        <v>67.83713141066707</v>
      </c>
      <c r="O6" s="35">
        <f>N6*F6*'Estructura granja'!C6</f>
        <v>1341.0003026040204</v>
      </c>
      <c r="P6" s="35">
        <f>S6*Piensos!AP18</f>
        <v>1893.4108356575914</v>
      </c>
      <c r="Q6" s="66">
        <f>N6/Piensos!AN18*1.1</f>
        <v>5.9808330617649075</v>
      </c>
      <c r="R6" s="35">
        <f>Q6*F6*'Estructura granja'!C6</f>
        <v>118.22874550956787</v>
      </c>
      <c r="S6" s="35">
        <f>R6*(1-Piensos!AR18)</f>
        <v>106.43687468013587</v>
      </c>
      <c r="T6" s="134">
        <f>R6*Piensos!AU18</f>
        <v>28.877714190574281</v>
      </c>
    </row>
    <row r="7" spans="1:92">
      <c r="A7" s="58" t="s">
        <v>7</v>
      </c>
      <c r="B7" s="138" t="s">
        <v>52</v>
      </c>
      <c r="C7" s="36">
        <f>D6</f>
        <v>135.625</v>
      </c>
      <c r="D7" s="36">
        <f>Datos!B19</f>
        <v>202.5</v>
      </c>
      <c r="E7" s="36">
        <f t="shared" si="1"/>
        <v>169.0625</v>
      </c>
      <c r="F7" s="23">
        <f>Datos!B21</f>
        <v>9.43</v>
      </c>
      <c r="G7" s="66">
        <f>G4</f>
        <v>0.42999605442193389</v>
      </c>
      <c r="H7" s="32">
        <f>0.43752*E7^0.75</f>
        <v>20.513198163449658</v>
      </c>
      <c r="I7" s="36">
        <f t="shared" si="0"/>
        <v>15.6871875</v>
      </c>
      <c r="J7" s="32">
        <f>IF(Datos!B20&lt;'Necesidades energéticas'!I4,(0.06845418+0.003684384*'Necesidades energéticas'!E7)*('Necesidades energéticas'!I7-Datos!B20),0)</f>
        <v>-2.3317782382968741</v>
      </c>
      <c r="K7" s="35">
        <f>IF(G7&gt;0,((53.5*0.28*G7)+(50.6*0.13*G7)),0)</f>
        <v>9.2698549412280524</v>
      </c>
      <c r="L7" s="68">
        <v>0</v>
      </c>
      <c r="M7" s="21">
        <v>0</v>
      </c>
      <c r="N7" s="32">
        <f t="shared" si="2"/>
        <v>27.451274866380835</v>
      </c>
      <c r="O7" s="35">
        <f>N7*F7*'Estructura granja'!C7</f>
        <v>264.44323350965453</v>
      </c>
      <c r="P7" s="35">
        <f>S7*Piensos!AG18</f>
        <v>385.096519037956</v>
      </c>
      <c r="Q7" s="66">
        <f>N7/Piensos!AE18*1.1</f>
        <v>2.5086214940321829</v>
      </c>
      <c r="R7" s="35">
        <f>Q7*F7*'Estructura granja'!C7</f>
        <v>24.166017161779699</v>
      </c>
      <c r="S7" s="35">
        <f>R7*(1-Piensos!AI18)</f>
        <v>21.840880334665574</v>
      </c>
      <c r="T7" s="134">
        <f>R7*Piensos!AL18</f>
        <v>4.8286736985079948</v>
      </c>
    </row>
    <row r="8" spans="1:92">
      <c r="A8" s="58" t="s">
        <v>8</v>
      </c>
      <c r="B8" s="138" t="s">
        <v>49</v>
      </c>
      <c r="C8" s="36">
        <f>D7</f>
        <v>202.5</v>
      </c>
      <c r="D8" s="21">
        <f>Datos!B19+21</f>
        <v>223.5</v>
      </c>
      <c r="E8" s="36">
        <f t="shared" si="1"/>
        <v>213</v>
      </c>
      <c r="F8" s="23">
        <f>114</f>
        <v>114</v>
      </c>
      <c r="G8" s="66">
        <f>(D8-C8)/F8</f>
        <v>0.18421052631578946</v>
      </c>
      <c r="H8" s="32">
        <f>0.43752*E8^0.75</f>
        <v>24.393977165211812</v>
      </c>
      <c r="I8" s="36">
        <f t="shared" si="0"/>
        <v>13.007</v>
      </c>
      <c r="J8" s="32">
        <f>IF(Datos!B20&lt;I8,(0.01004832*'Necesidades energéticas'!E8^0.75)*('Necesidades energéticas'!I8-Datos!B20),0)</f>
        <v>0</v>
      </c>
      <c r="K8" s="35">
        <f>0</f>
        <v>0</v>
      </c>
      <c r="L8" s="39">
        <v>0</v>
      </c>
      <c r="M8" s="35">
        <f>10.88568*Datos!B9*Datos!B13/365+0.774558*(F8-80)/F8+(D8-C8)*20.09664/F8</f>
        <v>4.4358948382235042</v>
      </c>
      <c r="N8" s="32">
        <f t="shared" si="2"/>
        <v>28.829872003435316</v>
      </c>
      <c r="O8" s="35">
        <f>N8*F8*'Estructura granja'!C8</f>
        <v>300.03694779159667</v>
      </c>
      <c r="P8" s="35">
        <f>S8*Piensos!AG18</f>
        <v>436.93000816789083</v>
      </c>
      <c r="Q8" s="66">
        <f>N8/Piensos!AE18*1.1</f>
        <v>2.6346039275060296</v>
      </c>
      <c r="R8" s="35">
        <f>Q8*F8*'Estructura granja'!C8</f>
        <v>27.418731548807088</v>
      </c>
      <c r="S8" s="35">
        <f>R8*(1-Piensos!AI18)</f>
        <v>24.780634337748406</v>
      </c>
      <c r="T8" s="134">
        <f>R8*Piensos!AL18</f>
        <v>5.4786068796462732</v>
      </c>
    </row>
    <row r="9" spans="1:92">
      <c r="A9" s="58" t="s">
        <v>9</v>
      </c>
      <c r="B9" s="138" t="s">
        <v>50</v>
      </c>
      <c r="C9" s="21">
        <f>D8-17</f>
        <v>206.5</v>
      </c>
      <c r="D9" s="21">
        <f>C9</f>
        <v>206.5</v>
      </c>
      <c r="E9" s="36">
        <f t="shared" si="1"/>
        <v>206.5</v>
      </c>
      <c r="F9" s="23">
        <f>Datos!B10</f>
        <v>23.75</v>
      </c>
      <c r="G9" s="66">
        <f>(D9-C9)/F9</f>
        <v>0</v>
      </c>
      <c r="H9" s="32">
        <f>0.46892*E9^0.75</f>
        <v>25.543993693438168</v>
      </c>
      <c r="I9" s="36">
        <f>26-0.061*E9</f>
        <v>13.403500000000001</v>
      </c>
      <c r="J9" s="32">
        <f>IF(Datos!B20&lt;I9,(0.01339776*'Necesidades energéticas'!E9^0.75)*('Necesidades energéticas'!I9-Datos!B20),0)</f>
        <v>0</v>
      </c>
      <c r="K9" s="35">
        <f>IF(G9&gt;0,((53.5*0.28*G9)+(50.6*0.13*G9)),0)</f>
        <v>0</v>
      </c>
      <c r="L9" s="67">
        <f>0.0285958*(Datos!B11-Datos!B9)*1000/Datos!B10*Datos!B13*(1-Datos!B7)-0.52335*(Datos!B13*(1-Datos!B7))</f>
        <v>49.201094166807792</v>
      </c>
      <c r="M9" s="21">
        <v>0</v>
      </c>
      <c r="N9" s="32">
        <f t="shared" si="2"/>
        <v>74.74508786024596</v>
      </c>
      <c r="O9" s="35">
        <f>N9*F9*'Estructura granja'!C9</f>
        <v>157.81315929281459</v>
      </c>
      <c r="P9" s="35">
        <f>S9*Piensos!AP18</f>
        <v>222.82257896149474</v>
      </c>
      <c r="Q9" s="66">
        <f>N9/Piensos!AN18*1.1</f>
        <v>6.5898702286339192</v>
      </c>
      <c r="R9" s="35">
        <f>Q9*F9*'Estructura granja'!C9</f>
        <v>13.913532914094015</v>
      </c>
      <c r="S9" s="35">
        <f>R9*(1-Piensos!AR18)</f>
        <v>12.525828238746938</v>
      </c>
      <c r="T9" s="134">
        <f>R9*Piensos!AU18</f>
        <v>3.3984207913450235</v>
      </c>
    </row>
    <row r="10" spans="1:92">
      <c r="A10" s="58" t="s">
        <v>10</v>
      </c>
      <c r="B10" s="138" t="s">
        <v>53</v>
      </c>
      <c r="C10" s="21">
        <f>D9</f>
        <v>206.5</v>
      </c>
      <c r="D10" s="21">
        <f>Datos!B19</f>
        <v>202.5</v>
      </c>
      <c r="E10" s="36">
        <f t="shared" si="1"/>
        <v>204.5</v>
      </c>
      <c r="F10" s="23">
        <f>Datos!B21</f>
        <v>9.43</v>
      </c>
      <c r="G10" s="66">
        <f>(D10-C10)/F10</f>
        <v>-0.42417815482502652</v>
      </c>
      <c r="H10" s="32">
        <f>0.43752*E10^0.75</f>
        <v>23.66017184600263</v>
      </c>
      <c r="I10" s="36">
        <f>26-0.061*E10</f>
        <v>13.525500000000001</v>
      </c>
      <c r="J10" s="32">
        <f>IF(Datos!B20&lt;'Necesidades energéticas'!I10,(0.06845418+0.003684384*'Necesidades energéticas'!E10)*('Necesidades energéticas'!I10-Datos!B20),0)</f>
        <v>0</v>
      </c>
      <c r="K10" s="35">
        <f>IF(G10&gt;0,((53.5*0.28*G10)+(50.6*0.13*G10)),0)</f>
        <v>0</v>
      </c>
      <c r="L10" s="23">
        <v>0</v>
      </c>
      <c r="M10" s="21">
        <v>0</v>
      </c>
      <c r="N10" s="32">
        <f t="shared" si="2"/>
        <v>23.66017184600263</v>
      </c>
      <c r="O10" s="35">
        <f>N10*F10*'Estructura granja'!C10</f>
        <v>24.343722661181104</v>
      </c>
      <c r="P10" s="35">
        <f>S10*Piensos!AG18</f>
        <v>35.45064372730107</v>
      </c>
      <c r="Q10" s="66">
        <f>N10/Piensos!AE18*1.1</f>
        <v>2.1621733757096933</v>
      </c>
      <c r="R10" s="35">
        <f>Q10*F10*'Estructura granja'!C10</f>
        <v>2.2246393367831434</v>
      </c>
      <c r="S10" s="35">
        <f>R10*(1-Piensos!AI18)</f>
        <v>2.0105953420953444</v>
      </c>
      <c r="T10" s="134">
        <f>R10*Piensos!AL18</f>
        <v>0.44451087584181531</v>
      </c>
    </row>
    <row r="11" spans="1:92">
      <c r="A11" s="58" t="s">
        <v>11</v>
      </c>
      <c r="B11" s="138" t="s">
        <v>17</v>
      </c>
      <c r="C11" s="21">
        <f>D2</f>
        <v>50</v>
      </c>
      <c r="D11" s="21">
        <f>0.65*Datos!B18</f>
        <v>155.02500000000001</v>
      </c>
      <c r="E11" s="36">
        <f t="shared" si="1"/>
        <v>102.5125</v>
      </c>
      <c r="F11" s="68">
        <f>F4</f>
        <v>189.82732320586695</v>
      </c>
      <c r="G11" s="66">
        <f>(D11-C11)/F11</f>
        <v>0.55326597997750215</v>
      </c>
      <c r="H11" s="32">
        <f>0.86248*E11^0.6</f>
        <v>13.874429291830753</v>
      </c>
      <c r="I11" s="36">
        <f>26-0.061*E11</f>
        <v>19.746737500000002</v>
      </c>
      <c r="J11" s="32">
        <f>IF(Datos!B20&lt;'Necesidades energéticas'!I11,(0.06845418+0.003684384*'Necesidades energéticas'!E11)*('Necesidades energéticas'!I11-Datos!B20),0)</f>
        <v>0.30638765735896645</v>
      </c>
      <c r="K11" s="35">
        <f>IF(G11&gt;0,((53.5*0.222*G11)+(50.6*0.157*G11)),0)</f>
        <v>10.966395642330067</v>
      </c>
      <c r="L11" s="23">
        <v>0</v>
      </c>
      <c r="M11" s="21">
        <v>0</v>
      </c>
      <c r="N11" s="32">
        <f t="shared" si="2"/>
        <v>25.147212591519786</v>
      </c>
      <c r="O11" s="35">
        <f>N11*F11*'Estructura granja'!C11</f>
        <v>7.6012164325733647</v>
      </c>
      <c r="P11" s="35">
        <f>S11*Piensos!X18</f>
        <v>10.664603204521296</v>
      </c>
      <c r="Q11" s="66">
        <f>N11/Piensos!V18*1.1</f>
        <v>2.0776538971525933</v>
      </c>
      <c r="R11" s="35">
        <f>Q11*F11*'Estructura granja'!C11</f>
        <v>0.62800983953036771</v>
      </c>
      <c r="S11" s="35">
        <f>R11*(1-Piensos!Z18)</f>
        <v>0.56732212051855924</v>
      </c>
      <c r="T11" s="134">
        <f>R11*Piensos!AC18</f>
        <v>0.17373476764900833</v>
      </c>
    </row>
    <row r="12" spans="1:92" ht="15.75" thickBot="1">
      <c r="A12" s="55" t="s">
        <v>12</v>
      </c>
      <c r="B12" s="139" t="s">
        <v>16</v>
      </c>
      <c r="C12" s="22">
        <f>D11</f>
        <v>155.02500000000001</v>
      </c>
      <c r="D12" s="22">
        <f>Datos!B18</f>
        <v>238.5</v>
      </c>
      <c r="E12" s="34">
        <f t="shared" si="1"/>
        <v>196.76249999999999</v>
      </c>
      <c r="F12" s="123">
        <f>365</f>
        <v>365</v>
      </c>
      <c r="G12" s="136">
        <f>(D12-C12)/F12</f>
        <v>0.2286986301369863</v>
      </c>
      <c r="H12" s="33">
        <f>0.43752*E12^0.75</f>
        <v>22.985537259022614</v>
      </c>
      <c r="I12" s="34">
        <f>26-0.061*E12</f>
        <v>13.9974875</v>
      </c>
      <c r="J12" s="38">
        <f>IF(Datos!B20&lt;'Necesidades energéticas'!I12,(0.06845418+0.003684384*'Necesidades energéticas'!E12)*('Necesidades energéticas'!I12-Datos!B20),0)</f>
        <v>0</v>
      </c>
      <c r="K12" s="33">
        <f>IF(G12&gt;0,((53.5*0.203*G12)+(50.6*0.161*G12)),0)</f>
        <v>4.3468977328767124</v>
      </c>
      <c r="L12" s="24">
        <v>0</v>
      </c>
      <c r="M12" s="22">
        <v>0</v>
      </c>
      <c r="N12" s="33">
        <f t="shared" si="2"/>
        <v>27.332434991899326</v>
      </c>
      <c r="O12" s="33">
        <f>N12*F12*'Estructura granja'!C12</f>
        <v>34.967370329822785</v>
      </c>
      <c r="P12" s="33">
        <f>S12*Piensos!AG18</f>
        <v>50.921373238443003</v>
      </c>
      <c r="Q12" s="136">
        <f>N12/Piensos!AE18*1.1</f>
        <v>2.4977613695052341</v>
      </c>
      <c r="R12" s="33">
        <f>Q12*F12*'Estructura granja'!C12</f>
        <v>3.1954762475022935</v>
      </c>
      <c r="S12" s="33">
        <f>R12*(1-Piensos!AI18)</f>
        <v>2.8880230394086159</v>
      </c>
      <c r="T12" s="33">
        <f>R12*Piensos!AL18</f>
        <v>0.63849628208180154</v>
      </c>
    </row>
    <row r="13" spans="1:92" ht="15.75" thickTop="1"/>
    <row r="16" spans="1:92" ht="15.75" thickBot="1"/>
    <row r="17" spans="8:19" ht="16.5" thickTop="1" thickBot="1">
      <c r="H17" s="25"/>
      <c r="I17" s="26"/>
      <c r="J17" s="26"/>
      <c r="Q17" s="56"/>
      <c r="R17" s="57" t="s">
        <v>45</v>
      </c>
      <c r="S17" s="351"/>
    </row>
    <row r="18" spans="8:19" ht="19.5" thickTop="1" thickBot="1">
      <c r="H18" s="27"/>
      <c r="I18" s="28"/>
      <c r="J18" s="28"/>
      <c r="O18" s="387" t="s">
        <v>105</v>
      </c>
      <c r="P18" s="388"/>
      <c r="Q18" s="389"/>
      <c r="R18" s="169">
        <f>SUM(O2:O12)</f>
        <v>49981.221574917538</v>
      </c>
      <c r="S18" s="238"/>
    </row>
    <row r="19" spans="8:19" ht="18.75" thickBot="1">
      <c r="H19" s="27"/>
      <c r="I19" s="28"/>
      <c r="J19" s="28"/>
      <c r="O19" s="390" t="s">
        <v>104</v>
      </c>
      <c r="P19" s="391"/>
      <c r="Q19" s="392"/>
      <c r="R19" s="169">
        <f>SUM(R2:R12)</f>
        <v>4160.5758783526608</v>
      </c>
      <c r="S19" s="238"/>
    </row>
    <row r="20" spans="8:19" ht="15.75" thickBot="1">
      <c r="H20" s="27"/>
      <c r="I20" s="29"/>
      <c r="J20" s="28"/>
      <c r="O20" s="393" t="s">
        <v>46</v>
      </c>
      <c r="P20" s="394"/>
      <c r="Q20" s="395"/>
      <c r="R20" s="170">
        <f>SUM(T2:T12)</f>
        <v>1725.2814511214494</v>
      </c>
      <c r="S20" s="238"/>
    </row>
    <row r="21" spans="8:19" ht="15.75" thickTop="1">
      <c r="H21" s="30"/>
      <c r="I21" s="31"/>
      <c r="J21" s="28"/>
    </row>
    <row r="22" spans="8:19">
      <c r="H22" s="30"/>
      <c r="I22" s="31"/>
      <c r="J22" s="28"/>
    </row>
    <row r="23" spans="8:19">
      <c r="H23" s="27"/>
      <c r="I23" s="28"/>
      <c r="J23" s="28"/>
    </row>
    <row r="24" spans="8:19">
      <c r="H24" s="27"/>
      <c r="I24" s="28"/>
      <c r="J24" s="28"/>
    </row>
    <row r="25" spans="8:19">
      <c r="H25" s="27"/>
      <c r="I25" s="28"/>
      <c r="J25" s="28"/>
    </row>
    <row r="26" spans="8:19">
      <c r="H26" s="27"/>
      <c r="I26" s="28"/>
      <c r="J26" s="28"/>
    </row>
    <row r="27" spans="8:19">
      <c r="H27" s="27"/>
      <c r="I27" s="28"/>
      <c r="J27" s="28"/>
    </row>
    <row r="28" spans="8:19">
      <c r="H28" s="27"/>
      <c r="I28" s="28"/>
      <c r="J28" s="28"/>
    </row>
  </sheetData>
  <mergeCells count="3">
    <mergeCell ref="O18:Q18"/>
    <mergeCell ref="O19:Q19"/>
    <mergeCell ref="O20:Q20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22"/>
  <sheetViews>
    <sheetView workbookViewId="0">
      <pane xSplit="1" topLeftCell="AH1" activePane="topRight" state="frozen"/>
      <selection activeCell="H24" sqref="H24"/>
      <selection pane="topRight" activeCell="O2" sqref="O2"/>
    </sheetView>
  </sheetViews>
  <sheetFormatPr baseColWidth="10" defaultRowHeight="15"/>
  <cols>
    <col min="1" max="1" width="19.28515625" customWidth="1"/>
    <col min="2" max="2" width="9.140625" customWidth="1"/>
    <col min="3" max="3" width="6.5703125" customWidth="1"/>
    <col min="4" max="4" width="5.7109375" customWidth="1"/>
    <col min="5" max="5" width="5.85546875" customWidth="1"/>
    <col min="6" max="7" width="9" customWidth="1"/>
    <col min="8" max="8" width="10.42578125" customWidth="1"/>
    <col min="9" max="9" width="14.140625" customWidth="1"/>
    <col min="10" max="10" width="11.140625" customWidth="1"/>
    <col min="11" max="11" width="9.5703125" customWidth="1"/>
    <col min="12" max="12" width="17.42578125" customWidth="1"/>
    <col min="13" max="13" width="12" customWidth="1"/>
    <col min="14" max="14" width="9.28515625" customWidth="1"/>
    <col min="15" max="16" width="11.42578125" customWidth="1"/>
    <col min="17" max="17" width="12.42578125" customWidth="1"/>
    <col min="18" max="18" width="17.28515625" customWidth="1"/>
    <col min="19" max="19" width="15" customWidth="1"/>
    <col min="20" max="20" width="12.140625" customWidth="1"/>
    <col min="21" max="21" width="17.140625" customWidth="1"/>
    <col min="22" max="22" width="10.5703125" customWidth="1"/>
    <col min="23" max="23" width="8.5703125" customWidth="1"/>
    <col min="24" max="25" width="11.140625" customWidth="1"/>
    <col min="26" max="26" width="13.7109375" customWidth="1"/>
    <col min="27" max="27" width="17.7109375" customWidth="1"/>
    <col min="28" max="28" width="15.42578125" customWidth="1"/>
    <col min="29" max="29" width="11.7109375" customWidth="1"/>
    <col min="30" max="30" width="15.5703125" customWidth="1"/>
    <col min="31" max="32" width="9.140625" customWidth="1"/>
    <col min="33" max="34" width="11.42578125" customWidth="1"/>
    <col min="35" max="35" width="13.140625" customWidth="1"/>
    <col min="36" max="36" width="17.7109375" bestFit="1" customWidth="1"/>
    <col min="37" max="37" width="15.5703125" customWidth="1"/>
    <col min="38" max="38" width="12.28515625" customWidth="1"/>
    <col min="39" max="39" width="15.5703125" customWidth="1"/>
    <col min="40" max="40" width="9.42578125" customWidth="1"/>
    <col min="41" max="41" width="8.28515625" customWidth="1"/>
    <col min="42" max="43" width="11.42578125" customWidth="1"/>
    <col min="44" max="44" width="12.85546875" customWidth="1"/>
    <col min="45" max="45" width="16.85546875" customWidth="1"/>
    <col min="46" max="46" width="15.7109375" customWidth="1"/>
    <col min="47" max="47" width="12.28515625" customWidth="1"/>
  </cols>
  <sheetData>
    <row r="1" spans="1:47" ht="16.5" customHeight="1" thickTop="1" thickBot="1">
      <c r="A1" s="401" t="s">
        <v>47</v>
      </c>
      <c r="B1" s="396" t="s">
        <v>107</v>
      </c>
      <c r="C1" s="396" t="s">
        <v>109</v>
      </c>
      <c r="D1" s="396" t="s">
        <v>145</v>
      </c>
      <c r="E1" s="396" t="s">
        <v>144</v>
      </c>
      <c r="F1" s="396" t="s">
        <v>127</v>
      </c>
      <c r="G1" s="396" t="s">
        <v>187</v>
      </c>
      <c r="H1" s="396" t="s">
        <v>110</v>
      </c>
      <c r="I1" s="396" t="s">
        <v>160</v>
      </c>
      <c r="J1" s="396" t="s">
        <v>159</v>
      </c>
      <c r="K1" s="396" t="s">
        <v>111</v>
      </c>
      <c r="L1" s="403" t="s">
        <v>54</v>
      </c>
      <c r="M1" s="404"/>
      <c r="N1" s="404"/>
      <c r="O1" s="405"/>
      <c r="P1" s="405"/>
      <c r="Q1" s="405"/>
      <c r="R1" s="405"/>
      <c r="S1" s="405"/>
      <c r="T1" s="406"/>
      <c r="U1" s="398" t="s">
        <v>55</v>
      </c>
      <c r="V1" s="398"/>
      <c r="W1" s="398"/>
      <c r="X1" s="398"/>
      <c r="Y1" s="398"/>
      <c r="Z1" s="398"/>
      <c r="AA1" s="398"/>
      <c r="AB1" s="398"/>
      <c r="AC1" s="398"/>
      <c r="AD1" s="399" t="s">
        <v>56</v>
      </c>
      <c r="AE1" s="399"/>
      <c r="AF1" s="399"/>
      <c r="AG1" s="399"/>
      <c r="AH1" s="399"/>
      <c r="AI1" s="399"/>
      <c r="AJ1" s="399"/>
      <c r="AK1" s="399"/>
      <c r="AL1" s="399"/>
      <c r="AM1" s="400" t="s">
        <v>57</v>
      </c>
      <c r="AN1" s="400"/>
      <c r="AO1" s="400"/>
      <c r="AP1" s="400"/>
      <c r="AQ1" s="400"/>
      <c r="AR1" s="400"/>
      <c r="AS1" s="400"/>
      <c r="AT1" s="400"/>
      <c r="AU1" s="400"/>
    </row>
    <row r="2" spans="1:47" s="163" customFormat="1" ht="20.25" customHeight="1" thickTop="1" thickBot="1">
      <c r="A2" s="402"/>
      <c r="B2" s="397"/>
      <c r="C2" s="397"/>
      <c r="D2" s="397"/>
      <c r="E2" s="397"/>
      <c r="F2" s="397"/>
      <c r="G2" s="397"/>
      <c r="H2" s="407"/>
      <c r="I2" s="407"/>
      <c r="J2" s="397"/>
      <c r="K2" s="397"/>
      <c r="L2" s="306" t="s">
        <v>112</v>
      </c>
      <c r="M2" s="307" t="s">
        <v>107</v>
      </c>
      <c r="N2" s="308" t="s">
        <v>108</v>
      </c>
      <c r="O2" s="309" t="s">
        <v>126</v>
      </c>
      <c r="P2" s="309" t="s">
        <v>188</v>
      </c>
      <c r="Q2" s="307" t="s">
        <v>110</v>
      </c>
      <c r="R2" s="310" t="s">
        <v>162</v>
      </c>
      <c r="S2" s="307" t="s">
        <v>161</v>
      </c>
      <c r="T2" s="311" t="s">
        <v>111</v>
      </c>
      <c r="U2" s="334" t="s">
        <v>163</v>
      </c>
      <c r="V2" s="315" t="s">
        <v>107</v>
      </c>
      <c r="W2" s="315" t="s">
        <v>108</v>
      </c>
      <c r="X2" s="315" t="s">
        <v>126</v>
      </c>
      <c r="Y2" s="315" t="s">
        <v>188</v>
      </c>
      <c r="Z2" s="315" t="s">
        <v>110</v>
      </c>
      <c r="AA2" s="335" t="s">
        <v>162</v>
      </c>
      <c r="AB2" s="336" t="s">
        <v>164</v>
      </c>
      <c r="AC2" s="337" t="s">
        <v>165</v>
      </c>
      <c r="AD2" s="338" t="s">
        <v>112</v>
      </c>
      <c r="AE2" s="339" t="s">
        <v>166</v>
      </c>
      <c r="AF2" s="339" t="s">
        <v>108</v>
      </c>
      <c r="AG2" s="339" t="s">
        <v>126</v>
      </c>
      <c r="AH2" s="339" t="s">
        <v>188</v>
      </c>
      <c r="AI2" s="339" t="s">
        <v>110</v>
      </c>
      <c r="AJ2" s="339" t="s">
        <v>169</v>
      </c>
      <c r="AK2" s="374" t="s">
        <v>167</v>
      </c>
      <c r="AL2" s="340" t="s">
        <v>168</v>
      </c>
      <c r="AM2" s="341" t="s">
        <v>112</v>
      </c>
      <c r="AN2" s="342" t="s">
        <v>166</v>
      </c>
      <c r="AO2" s="342" t="s">
        <v>108</v>
      </c>
      <c r="AP2" s="343" t="s">
        <v>128</v>
      </c>
      <c r="AQ2" s="342" t="s">
        <v>189</v>
      </c>
      <c r="AR2" s="343" t="s">
        <v>130</v>
      </c>
      <c r="AS2" s="343" t="s">
        <v>169</v>
      </c>
      <c r="AT2" s="343" t="s">
        <v>161</v>
      </c>
      <c r="AU2" s="344" t="s">
        <v>111</v>
      </c>
    </row>
    <row r="3" spans="1:47" ht="15.75" thickTop="1">
      <c r="A3" s="301" t="s">
        <v>38</v>
      </c>
      <c r="B3" s="41">
        <v>14.193251999999999</v>
      </c>
      <c r="C3" s="214">
        <v>7.5</v>
      </c>
      <c r="D3" s="257">
        <v>1.2</v>
      </c>
      <c r="E3" s="257">
        <v>3.6</v>
      </c>
      <c r="F3" s="262">
        <f t="shared" ref="F3:F12" si="0">17.3405265+E3*0.234388+0.0627825*C3-0.184162*D3</f>
        <v>18.434197650000002</v>
      </c>
      <c r="G3" s="450">
        <v>14.49756</v>
      </c>
      <c r="H3" s="290">
        <v>0.13800000000000001</v>
      </c>
      <c r="I3" s="297">
        <f>Ingredientes!I4</f>
        <v>0.72681315829508197</v>
      </c>
      <c r="J3" s="171">
        <f>Ingredientes!J4</f>
        <v>6.6032412150433943</v>
      </c>
      <c r="K3" s="171">
        <v>0.19700000000000001</v>
      </c>
      <c r="L3" s="85">
        <v>57.689951783454397</v>
      </c>
      <c r="M3" s="45">
        <f>B3*$L$3/100</f>
        <v>8.1880802353041773</v>
      </c>
      <c r="N3" s="153">
        <f>C3*L3/10000</f>
        <v>4.3267463837590801E-2</v>
      </c>
      <c r="O3" s="221">
        <f>F3*L3/100</f>
        <v>10.634679735951684</v>
      </c>
      <c r="P3" s="221">
        <f>G3*L3/100</f>
        <v>8.3636353737773703</v>
      </c>
      <c r="Q3" s="243">
        <f>H3*L3/100</f>
        <v>7.9612133461167078E-2</v>
      </c>
      <c r="R3" s="312">
        <f>I3*L3/100</f>
        <v>0.41929816057623492</v>
      </c>
      <c r="S3" s="314">
        <f>J3*L3/100</f>
        <v>3.8094066731037226</v>
      </c>
      <c r="T3" s="103">
        <f>K3*L3/100</f>
        <v>0.11364920501340517</v>
      </c>
      <c r="U3" s="80">
        <v>7.1717079248853599</v>
      </c>
      <c r="V3" s="102">
        <f>B3*U3/100</f>
        <v>1.01789857848295</v>
      </c>
      <c r="W3" s="131">
        <f>C3*U3/10000</f>
        <v>5.3787809436640199E-3</v>
      </c>
      <c r="X3" s="229">
        <f>F3*U3/100</f>
        <v>1.3220468137540808</v>
      </c>
      <c r="Y3" s="229">
        <f>G3*U3/100</f>
        <v>1.03972265943501</v>
      </c>
      <c r="Z3" s="131">
        <f>H3*U3/100</f>
        <v>9.8969569363417977E-3</v>
      </c>
      <c r="AA3" s="316">
        <f>I3*U3/100</f>
        <v>5.2124916872557971E-2</v>
      </c>
      <c r="AB3" s="316">
        <f>J3*U3/100</f>
        <v>0.47356517351856348</v>
      </c>
      <c r="AC3" s="107">
        <f>K3*U3/100</f>
        <v>1.412826461202416E-2</v>
      </c>
      <c r="AD3" s="91"/>
      <c r="AE3" s="371">
        <f t="shared" ref="AE3" si="1">C3*AD3/100</f>
        <v>0</v>
      </c>
      <c r="AF3" s="125">
        <f t="shared" ref="AF3" si="2">C3*AD3/10000</f>
        <v>0</v>
      </c>
      <c r="AG3" s="234">
        <f t="shared" ref="AG3:AG4" si="3">F3*AD3/100</f>
        <v>0</v>
      </c>
      <c r="AH3" s="234">
        <f>G3*AD3/100</f>
        <v>0</v>
      </c>
      <c r="AI3" s="233">
        <f t="shared" ref="AI3:AI4" si="4">H3*AD3/100</f>
        <v>0</v>
      </c>
      <c r="AJ3" s="372">
        <f t="shared" ref="AJ3:AJ17" si="5">I3*AD3/100</f>
        <v>0</v>
      </c>
      <c r="AK3" s="373">
        <f t="shared" ref="AK3:AK17" si="6">J3*AD3/100</f>
        <v>0</v>
      </c>
      <c r="AL3" s="112">
        <f t="shared" ref="AL3:AL17" si="7">K3*AD3/100</f>
        <v>0</v>
      </c>
      <c r="AM3" s="97">
        <v>3.4731736670153199</v>
      </c>
      <c r="AN3" s="52">
        <f>B3*AM3/100</f>
        <v>0.49295629095712523</v>
      </c>
      <c r="AO3" s="128">
        <f>C3*AM3/10000</f>
        <v>2.6048802502614903E-3</v>
      </c>
      <c r="AP3" s="261">
        <f>F3*AM3/100</f>
        <v>0.64025169850535701</v>
      </c>
      <c r="AQ3" s="261">
        <f>G3*AM3/100</f>
        <v>0.50352543627974622</v>
      </c>
      <c r="AR3" s="241">
        <f>H3*AM3/100</f>
        <v>4.7929796604811422E-3</v>
      </c>
      <c r="AS3" s="327">
        <f>I3*AM3/100</f>
        <v>2.5243483222307163E-2</v>
      </c>
      <c r="AT3" s="322">
        <f>J3*AM3/100</f>
        <v>0.22934203505038961</v>
      </c>
      <c r="AU3" s="114">
        <f>K3*AM3/100</f>
        <v>6.8421521240201811E-3</v>
      </c>
    </row>
    <row r="4" spans="1:47">
      <c r="A4" s="302" t="s">
        <v>58</v>
      </c>
      <c r="B4" s="70">
        <v>13.607100000000001</v>
      </c>
      <c r="C4" s="215">
        <v>11.2</v>
      </c>
      <c r="D4" s="258">
        <v>1.6</v>
      </c>
      <c r="E4" s="258">
        <v>1.8</v>
      </c>
      <c r="F4" s="263">
        <f t="shared" si="0"/>
        <v>18.170929699999999</v>
      </c>
      <c r="G4" s="453">
        <v>14.016400000000001</v>
      </c>
      <c r="H4" s="291">
        <v>0.114</v>
      </c>
      <c r="I4" s="298">
        <f>Ingredientes!I5</f>
        <v>0.42329845320199999</v>
      </c>
      <c r="J4" s="173">
        <f>Ingredientes!J5</f>
        <v>4.7235144498269888</v>
      </c>
      <c r="K4" s="172">
        <v>0.19400000000000001</v>
      </c>
      <c r="L4" s="86">
        <v>0</v>
      </c>
      <c r="M4" s="46">
        <f>B4*L4/100</f>
        <v>0</v>
      </c>
      <c r="N4" s="154">
        <f>C4*L4/10000</f>
        <v>0</v>
      </c>
      <c r="O4" s="223">
        <f>F4*L4/100</f>
        <v>0</v>
      </c>
      <c r="P4" s="223">
        <f t="shared" ref="P4:P17" si="8">G4*L4/100</f>
        <v>0</v>
      </c>
      <c r="Q4" s="244">
        <f t="shared" ref="Q4:Q17" si="9">H4*L4/100</f>
        <v>0</v>
      </c>
      <c r="R4" s="313">
        <f t="shared" ref="R4:R17" si="10">I4*L4/100</f>
        <v>0</v>
      </c>
      <c r="S4" s="223">
        <f t="shared" ref="S4:S17" si="11">J4*L4/100</f>
        <v>0</v>
      </c>
      <c r="T4" s="104">
        <f>K4*L4/100</f>
        <v>0</v>
      </c>
      <c r="U4" s="81">
        <v>10</v>
      </c>
      <c r="V4" s="47">
        <f>B4*U4/100</f>
        <v>1.3607100000000001</v>
      </c>
      <c r="W4" s="132">
        <f>C4*U4/10000</f>
        <v>1.12E-2</v>
      </c>
      <c r="X4" s="230">
        <f t="shared" ref="X4:X17" si="12">F4*U4/100</f>
        <v>1.81709297</v>
      </c>
      <c r="Y4" s="319">
        <f t="shared" ref="Y4:Y17" si="13">G4*U4/100</f>
        <v>1.4016400000000002</v>
      </c>
      <c r="Z4" s="331">
        <f t="shared" ref="Z4:Z17" si="14">H4*U4/100</f>
        <v>1.14E-2</v>
      </c>
      <c r="AA4" s="230">
        <f t="shared" ref="AA4:AA17" si="15">I4*U4/100</f>
        <v>4.2329845320199996E-2</v>
      </c>
      <c r="AB4" s="230">
        <f t="shared" ref="AB4:AB17" si="16">J4*U4/100</f>
        <v>0.47235144498269888</v>
      </c>
      <c r="AC4" s="108">
        <f>K4*U4/100</f>
        <v>1.9400000000000001E-2</v>
      </c>
      <c r="AD4" s="92"/>
      <c r="AE4" s="51">
        <f>B4*AD4/100</f>
        <v>0</v>
      </c>
      <c r="AF4" s="125">
        <f>C4*AD4/10000</f>
        <v>0</v>
      </c>
      <c r="AG4" s="234">
        <f t="shared" si="3"/>
        <v>0</v>
      </c>
      <c r="AH4" s="234">
        <f t="shared" ref="AH4:AH17" si="17">G4*AD4/100</f>
        <v>0</v>
      </c>
      <c r="AI4" s="233">
        <f t="shared" si="4"/>
        <v>0</v>
      </c>
      <c r="AJ4" s="234">
        <f t="shared" si="5"/>
        <v>0</v>
      </c>
      <c r="AK4" s="320">
        <f t="shared" si="6"/>
        <v>0</v>
      </c>
      <c r="AL4" s="112">
        <f t="shared" si="7"/>
        <v>0</v>
      </c>
      <c r="AM4" s="98">
        <v>0</v>
      </c>
      <c r="AN4" s="52">
        <f>B4*AM4/100</f>
        <v>0</v>
      </c>
      <c r="AO4" s="129">
        <f>C4*AM4/10000</f>
        <v>0</v>
      </c>
      <c r="AP4" s="235">
        <f>F4*AM4/100</f>
        <v>0</v>
      </c>
      <c r="AQ4" s="235">
        <f t="shared" ref="AQ4:AQ17" si="18">G4*AM4/100</f>
        <v>0</v>
      </c>
      <c r="AR4" s="237">
        <f>H4*AM4/100</f>
        <v>0</v>
      </c>
      <c r="AS4" s="236">
        <f t="shared" ref="AS4:AS17" si="19">I4*AM4/100</f>
        <v>0</v>
      </c>
      <c r="AT4" s="323">
        <f t="shared" ref="AT4:AT17" si="20">J4*AM4/100</f>
        <v>0</v>
      </c>
      <c r="AU4" s="115">
        <f>K4*AM4/100</f>
        <v>0</v>
      </c>
    </row>
    <row r="5" spans="1:47">
      <c r="A5" s="303" t="s">
        <v>39</v>
      </c>
      <c r="B5" s="40">
        <v>12.853476000000001</v>
      </c>
      <c r="C5" s="216">
        <v>11.3</v>
      </c>
      <c r="D5" s="259">
        <v>2.2000000000000002</v>
      </c>
      <c r="E5" s="259">
        <v>2</v>
      </c>
      <c r="F5" s="257">
        <f t="shared" si="0"/>
        <v>18.113588349999997</v>
      </c>
      <c r="G5" s="451">
        <v>13.26328</v>
      </c>
      <c r="H5" s="292">
        <v>9.8000000000000004E-2</v>
      </c>
      <c r="I5" s="298">
        <f>Ingredientes!I6</f>
        <v>1.0905403814117647</v>
      </c>
      <c r="J5" s="173">
        <f>Ingredientes!J6</f>
        <v>0.91448503806228354</v>
      </c>
      <c r="K5" s="173">
        <v>0.18129999999999999</v>
      </c>
      <c r="L5" s="86">
        <v>0</v>
      </c>
      <c r="M5" s="46">
        <f>B5*L5/100</f>
        <v>0</v>
      </c>
      <c r="N5" s="154">
        <f>C5*L5/10000</f>
        <v>0</v>
      </c>
      <c r="O5" s="223">
        <f>F5*L5/100</f>
        <v>0</v>
      </c>
      <c r="P5" s="223">
        <f t="shared" si="8"/>
        <v>0</v>
      </c>
      <c r="Q5" s="244">
        <f t="shared" si="9"/>
        <v>0</v>
      </c>
      <c r="R5" s="224">
        <f t="shared" si="10"/>
        <v>0</v>
      </c>
      <c r="S5" s="223">
        <f t="shared" si="11"/>
        <v>0</v>
      </c>
      <c r="T5" s="104">
        <f>K5*L5/100</f>
        <v>0</v>
      </c>
      <c r="U5" s="81">
        <v>57.866237410582997</v>
      </c>
      <c r="V5" s="47">
        <f>B5*U5/100</f>
        <v>7.4378229376723075</v>
      </c>
      <c r="W5" s="132">
        <f>C5*U5/10000</f>
        <v>6.5388848273958786E-2</v>
      </c>
      <c r="X5" s="230">
        <f t="shared" si="12"/>
        <v>10.4816520381867</v>
      </c>
      <c r="Y5" s="230">
        <f t="shared" si="13"/>
        <v>7.6749610932303725</v>
      </c>
      <c r="Z5" s="150">
        <f t="shared" si="14"/>
        <v>5.6708912662371339E-2</v>
      </c>
      <c r="AA5" s="230">
        <f t="shared" si="15"/>
        <v>0.63105468616600913</v>
      </c>
      <c r="AB5" s="230">
        <f t="shared" si="16"/>
        <v>0.52917808320938131</v>
      </c>
      <c r="AC5" s="108">
        <f>K5*U5/100</f>
        <v>0.10491148842538697</v>
      </c>
      <c r="AD5" s="92">
        <v>83.427476813895495</v>
      </c>
      <c r="AE5" s="51">
        <f t="shared" ref="AE5:AE17" si="21">B5*AD5/100</f>
        <v>10.723330709679622</v>
      </c>
      <c r="AF5" s="125">
        <f>C5*AD5/10000</f>
        <v>9.4273048799701914E-2</v>
      </c>
      <c r="AG5" s="234">
        <f>F5*AD5/100</f>
        <v>15.111709720860723</v>
      </c>
      <c r="AH5" s="234">
        <f t="shared" si="17"/>
        <v>11.065219846762039</v>
      </c>
      <c r="AI5" s="233">
        <f>H5*AD5/100</f>
        <v>8.1758927277617591E-2</v>
      </c>
      <c r="AJ5" s="234">
        <f t="shared" si="5"/>
        <v>0.90981032384846738</v>
      </c>
      <c r="AK5" s="320">
        <f>J5*AD5/100</f>
        <v>0.76293179309595505</v>
      </c>
      <c r="AL5" s="112">
        <f>K5*AD5/100</f>
        <v>0.15125401546359252</v>
      </c>
      <c r="AM5" s="98">
        <v>73.245873961656699</v>
      </c>
      <c r="AN5" s="52">
        <f t="shared" ref="AN5:AN17" si="22">B5*AM5/100</f>
        <v>9.414640830651793</v>
      </c>
      <c r="AO5" s="129">
        <f>C5*AM5/10000</f>
        <v>8.2767837576672068E-2</v>
      </c>
      <c r="AP5" s="235">
        <f>F5*AM5/100</f>
        <v>13.26745609277433</v>
      </c>
      <c r="AQ5" s="235">
        <f t="shared" si="18"/>
        <v>9.7148053519816209</v>
      </c>
      <c r="AR5" s="237">
        <f>H5*AM5/100</f>
        <v>7.1780956482423566E-2</v>
      </c>
      <c r="AS5" s="236">
        <f t="shared" si="19"/>
        <v>0.79877583326983137</v>
      </c>
      <c r="AT5" s="323">
        <f t="shared" si="20"/>
        <v>0.66982255837730842</v>
      </c>
      <c r="AU5" s="115">
        <f>K5*AM5/100</f>
        <v>0.13279476949248359</v>
      </c>
    </row>
    <row r="6" spans="1:47">
      <c r="A6" s="303" t="s">
        <v>40</v>
      </c>
      <c r="B6" s="40">
        <v>10.885680000000001</v>
      </c>
      <c r="C6" s="216">
        <v>14.9</v>
      </c>
      <c r="D6" s="257">
        <v>4.8</v>
      </c>
      <c r="E6" s="257">
        <v>3.5</v>
      </c>
      <c r="F6" s="263">
        <f t="shared" si="0"/>
        <v>18.212366149999998</v>
      </c>
      <c r="G6" s="452">
        <v>11.715199999999999</v>
      </c>
      <c r="H6" s="292">
        <v>0.12</v>
      </c>
      <c r="I6" s="298">
        <f>Ingredientes!I7</f>
        <v>0.54687738396666663</v>
      </c>
      <c r="J6" s="173">
        <f>Ingredientes!J7</f>
        <v>2.0846846405228754</v>
      </c>
      <c r="K6" s="173">
        <v>0.16830000000000001</v>
      </c>
      <c r="L6" s="86">
        <v>6</v>
      </c>
      <c r="M6" s="46">
        <f t="shared" ref="M6:M7" si="23">B6*L6/100</f>
        <v>0.65314080000000008</v>
      </c>
      <c r="N6" s="154">
        <f t="shared" ref="N6:N9" si="24">C6*L6/10000</f>
        <v>8.94E-3</v>
      </c>
      <c r="O6" s="223">
        <f t="shared" ref="O6:O7" si="25">F6*L6/100</f>
        <v>1.092741969</v>
      </c>
      <c r="P6" s="223">
        <f t="shared" si="8"/>
        <v>0.70291199999999998</v>
      </c>
      <c r="Q6" s="244">
        <f t="shared" si="9"/>
        <v>7.1999999999999998E-3</v>
      </c>
      <c r="R6" s="224">
        <f t="shared" si="10"/>
        <v>3.2812643037999994E-2</v>
      </c>
      <c r="S6" s="223">
        <f t="shared" si="11"/>
        <v>0.12508107843137253</v>
      </c>
      <c r="T6" s="104">
        <f t="shared" ref="T6:T7" si="26">K6*L6/100</f>
        <v>1.0098000000000001E-2</v>
      </c>
      <c r="U6" s="81">
        <v>0</v>
      </c>
      <c r="V6" s="47">
        <f t="shared" ref="V6:V7" si="27">B6*U6/100</f>
        <v>0</v>
      </c>
      <c r="W6" s="132">
        <f t="shared" ref="W6:W9" si="28">C6*U6/10000</f>
        <v>0</v>
      </c>
      <c r="X6" s="230">
        <f t="shared" si="12"/>
        <v>0</v>
      </c>
      <c r="Y6" s="230">
        <f t="shared" si="13"/>
        <v>0</v>
      </c>
      <c r="Z6" s="150">
        <f t="shared" si="14"/>
        <v>0</v>
      </c>
      <c r="AA6" s="230">
        <f t="shared" si="15"/>
        <v>0</v>
      </c>
      <c r="AB6" s="230">
        <f t="shared" si="16"/>
        <v>0</v>
      </c>
      <c r="AC6" s="108">
        <f t="shared" ref="AC6:AC7" si="29">K6*U6/100</f>
        <v>0</v>
      </c>
      <c r="AD6" s="92"/>
      <c r="AE6" s="51">
        <f t="shared" si="21"/>
        <v>0</v>
      </c>
      <c r="AF6" s="125">
        <f t="shared" ref="AF6:AF17" si="30">C6*AD6/10000</f>
        <v>0</v>
      </c>
      <c r="AG6" s="234">
        <f t="shared" ref="AG6:AG17" si="31">F6*AD6/100</f>
        <v>0</v>
      </c>
      <c r="AH6" s="234">
        <f t="shared" si="17"/>
        <v>0</v>
      </c>
      <c r="AI6" s="233">
        <f t="shared" ref="AI6:AI17" si="32">H6*AD6/100</f>
        <v>0</v>
      </c>
      <c r="AJ6" s="234">
        <f t="shared" si="5"/>
        <v>0</v>
      </c>
      <c r="AK6" s="320">
        <f t="shared" si="6"/>
        <v>0</v>
      </c>
      <c r="AL6" s="112">
        <f t="shared" si="7"/>
        <v>0</v>
      </c>
      <c r="AM6" s="98">
        <v>0</v>
      </c>
      <c r="AN6" s="52">
        <f t="shared" si="22"/>
        <v>0</v>
      </c>
      <c r="AO6" s="129">
        <f t="shared" ref="AO6:AO7" si="33">C6*AM6/10000</f>
        <v>0</v>
      </c>
      <c r="AP6" s="235">
        <f t="shared" ref="AP6:AP7" si="34">F6*AM6/100</f>
        <v>0</v>
      </c>
      <c r="AQ6" s="235">
        <f t="shared" si="18"/>
        <v>0</v>
      </c>
      <c r="AR6" s="237">
        <f t="shared" ref="AR6:AR17" si="35">H6*AM6/100</f>
        <v>0</v>
      </c>
      <c r="AS6" s="236">
        <f t="shared" si="19"/>
        <v>0</v>
      </c>
      <c r="AT6" s="323">
        <f t="shared" si="20"/>
        <v>0</v>
      </c>
      <c r="AU6" s="115">
        <f t="shared" ref="AU6:AU11" si="36">K6*AM6/100</f>
        <v>0</v>
      </c>
    </row>
    <row r="7" spans="1:47">
      <c r="A7" s="303" t="s">
        <v>59</v>
      </c>
      <c r="B7" s="40">
        <v>8.7085439999999998</v>
      </c>
      <c r="C7" s="216">
        <v>28.1</v>
      </c>
      <c r="D7" s="259">
        <v>6.1</v>
      </c>
      <c r="E7" s="259">
        <v>1.5</v>
      </c>
      <c r="F7" s="263">
        <f t="shared" si="0"/>
        <v>18.332908549999999</v>
      </c>
      <c r="G7" s="452">
        <v>9.6232000000000006</v>
      </c>
      <c r="H7" s="292">
        <v>0.10299999999999999</v>
      </c>
      <c r="I7" s="298">
        <f>Ingredientes!I8</f>
        <v>1.2455123208202246</v>
      </c>
      <c r="J7" s="173">
        <f>Ingredientes!J8</f>
        <v>5.8239318043621946</v>
      </c>
      <c r="K7" s="173">
        <v>0.19109999999999999</v>
      </c>
      <c r="L7" s="87">
        <v>0</v>
      </c>
      <c r="M7" s="46">
        <f t="shared" si="23"/>
        <v>0</v>
      </c>
      <c r="N7" s="154">
        <f t="shared" si="24"/>
        <v>0</v>
      </c>
      <c r="O7" s="223">
        <f t="shared" si="25"/>
        <v>0</v>
      </c>
      <c r="P7" s="223">
        <f t="shared" si="8"/>
        <v>0</v>
      </c>
      <c r="Q7" s="244">
        <f t="shared" si="9"/>
        <v>0</v>
      </c>
      <c r="R7" s="224">
        <f t="shared" si="10"/>
        <v>0</v>
      </c>
      <c r="S7" s="223">
        <f t="shared" si="11"/>
        <v>0</v>
      </c>
      <c r="T7" s="104">
        <f t="shared" si="26"/>
        <v>0</v>
      </c>
      <c r="U7" s="81">
        <v>6</v>
      </c>
      <c r="V7" s="47">
        <f t="shared" si="27"/>
        <v>0.52251263999999997</v>
      </c>
      <c r="W7" s="132">
        <f t="shared" si="28"/>
        <v>1.6860000000000003E-2</v>
      </c>
      <c r="X7" s="230">
        <f t="shared" si="12"/>
        <v>1.099974513</v>
      </c>
      <c r="Y7" s="230">
        <f t="shared" si="13"/>
        <v>0.57739200000000002</v>
      </c>
      <c r="Z7" s="150">
        <f t="shared" si="14"/>
        <v>6.1799999999999997E-3</v>
      </c>
      <c r="AA7" s="230">
        <f t="shared" si="15"/>
        <v>7.4730739249213474E-2</v>
      </c>
      <c r="AB7" s="230">
        <f t="shared" si="16"/>
        <v>0.34943590826173165</v>
      </c>
      <c r="AC7" s="108">
        <f t="shared" si="29"/>
        <v>1.1465999999999999E-2</v>
      </c>
      <c r="AD7" s="93">
        <v>10.077734880277101</v>
      </c>
      <c r="AE7" s="51">
        <f t="shared" si="21"/>
        <v>0.87762397625227861</v>
      </c>
      <c r="AF7" s="125">
        <f t="shared" si="30"/>
        <v>2.8318435013578652E-2</v>
      </c>
      <c r="AG7" s="234">
        <f t="shared" si="31"/>
        <v>1.8475419195126528</v>
      </c>
      <c r="AH7" s="234">
        <f t="shared" si="17"/>
        <v>0.96980058299882599</v>
      </c>
      <c r="AI7" s="233">
        <f t="shared" si="32"/>
        <v>1.0380066926685414E-2</v>
      </c>
      <c r="AJ7" s="234">
        <f t="shared" si="5"/>
        <v>0.12551942959344861</v>
      </c>
      <c r="AK7" s="320">
        <f t="shared" si="6"/>
        <v>0.58692040685176039</v>
      </c>
      <c r="AL7" s="112">
        <f t="shared" si="7"/>
        <v>1.925855135620954E-2</v>
      </c>
      <c r="AM7" s="99">
        <v>0</v>
      </c>
      <c r="AN7" s="52">
        <f t="shared" si="22"/>
        <v>0</v>
      </c>
      <c r="AO7" s="129">
        <f t="shared" si="33"/>
        <v>0</v>
      </c>
      <c r="AP7" s="235">
        <f t="shared" si="34"/>
        <v>0</v>
      </c>
      <c r="AQ7" s="235">
        <f t="shared" si="18"/>
        <v>0</v>
      </c>
      <c r="AR7" s="237">
        <f t="shared" si="35"/>
        <v>0</v>
      </c>
      <c r="AS7" s="236">
        <f t="shared" si="19"/>
        <v>0</v>
      </c>
      <c r="AT7" s="323">
        <f t="shared" si="20"/>
        <v>0</v>
      </c>
      <c r="AU7" s="115">
        <f t="shared" si="36"/>
        <v>0</v>
      </c>
    </row>
    <row r="8" spans="1:47">
      <c r="A8" s="303" t="s">
        <v>60</v>
      </c>
      <c r="B8" s="40">
        <v>12.853476000000001</v>
      </c>
      <c r="C8" s="216">
        <v>44</v>
      </c>
      <c r="D8" s="257">
        <v>6.2</v>
      </c>
      <c r="E8" s="257">
        <v>1.9</v>
      </c>
      <c r="F8" s="263">
        <f t="shared" si="0"/>
        <v>19.4064893</v>
      </c>
      <c r="G8" s="453">
        <v>13.8072</v>
      </c>
      <c r="H8" s="293">
        <v>0.12</v>
      </c>
      <c r="I8" s="298">
        <f>Ingredientes!I9</f>
        <v>4.6039275591590911</v>
      </c>
      <c r="J8" s="173">
        <f>Ingredientes!J9</f>
        <v>4.9112140374331554</v>
      </c>
      <c r="K8" s="173">
        <v>0.38800000000000001</v>
      </c>
      <c r="L8" s="87">
        <v>10</v>
      </c>
      <c r="M8" s="46">
        <f>B8*L8/100</f>
        <v>1.2853476000000001</v>
      </c>
      <c r="N8" s="154">
        <f t="shared" si="24"/>
        <v>4.3999999999999997E-2</v>
      </c>
      <c r="O8" s="223">
        <f t="shared" ref="O8:O17" si="37">F8*L8/100</f>
        <v>1.94064893</v>
      </c>
      <c r="P8" s="313">
        <f t="shared" si="8"/>
        <v>1.3807199999999999</v>
      </c>
      <c r="Q8" s="242">
        <f t="shared" si="9"/>
        <v>1.2E-2</v>
      </c>
      <c r="R8" s="224">
        <f t="shared" si="10"/>
        <v>0.46039275591590906</v>
      </c>
      <c r="S8" s="223">
        <f t="shared" si="11"/>
        <v>0.49112140374331553</v>
      </c>
      <c r="T8" s="104">
        <f t="shared" ref="T8:T16" si="38">K8*L8/100</f>
        <v>3.8800000000000001E-2</v>
      </c>
      <c r="U8" s="82">
        <v>10.11465035</v>
      </c>
      <c r="V8" s="47">
        <f>B8*U8/100</f>
        <v>1.3000841552211659</v>
      </c>
      <c r="W8" s="132">
        <f t="shared" si="28"/>
        <v>4.4504461539999998E-2</v>
      </c>
      <c r="X8" s="230">
        <f t="shared" si="12"/>
        <v>1.9628985379051624</v>
      </c>
      <c r="Y8" s="454">
        <f t="shared" si="13"/>
        <v>1.3965500031252001</v>
      </c>
      <c r="Z8" s="333">
        <f t="shared" si="14"/>
        <v>1.213758042E-2</v>
      </c>
      <c r="AA8" s="318">
        <f t="shared" si="15"/>
        <v>0.46567117497623145</v>
      </c>
      <c r="AB8" s="318">
        <f t="shared" si="16"/>
        <v>0.49675212782648182</v>
      </c>
      <c r="AC8" s="108">
        <f t="shared" ref="AC8:AC17" si="39">K8*U8/100</f>
        <v>3.9244843357999999E-2</v>
      </c>
      <c r="AD8" s="93">
        <v>3.2492080949713098</v>
      </c>
      <c r="AE8" s="51">
        <f t="shared" si="21"/>
        <v>0.41763618267719449</v>
      </c>
      <c r="AF8" s="125">
        <f t="shared" si="30"/>
        <v>1.4296515617873764E-2</v>
      </c>
      <c r="AG8" s="234">
        <f t="shared" si="31"/>
        <v>0.63055722128534109</v>
      </c>
      <c r="AH8" s="234">
        <f t="shared" si="17"/>
        <v>0.44862466008887869</v>
      </c>
      <c r="AI8" s="233">
        <f t="shared" si="32"/>
        <v>3.8990497139655715E-3</v>
      </c>
      <c r="AJ8" s="234">
        <f t="shared" si="5"/>
        <v>0.14959118693881224</v>
      </c>
      <c r="AK8" s="320">
        <f t="shared" si="6"/>
        <v>0.15957556406564538</v>
      </c>
      <c r="AL8" s="112">
        <f t="shared" si="7"/>
        <v>1.2606927408488683E-2</v>
      </c>
      <c r="AM8" s="99">
        <v>19.093492817058401</v>
      </c>
      <c r="AN8" s="52">
        <f t="shared" si="22"/>
        <v>2.4541775168023254</v>
      </c>
      <c r="AO8" s="129">
        <f>C8*AM8/10000</f>
        <v>8.4011368395056962E-2</v>
      </c>
      <c r="AP8" s="235">
        <f>F8*AM8/100</f>
        <v>3.7053766405387076</v>
      </c>
      <c r="AQ8" s="235">
        <f t="shared" si="18"/>
        <v>2.6362767402368878</v>
      </c>
      <c r="AR8" s="237">
        <f t="shared" si="35"/>
        <v>2.2912191380470081E-2</v>
      </c>
      <c r="AS8" s="236">
        <f t="shared" si="19"/>
        <v>0.87905057781061313</v>
      </c>
      <c r="AT8" s="323">
        <f t="shared" si="20"/>
        <v>0.9377222994676635</v>
      </c>
      <c r="AU8" s="115">
        <f t="shared" si="36"/>
        <v>7.4082752130186599E-2</v>
      </c>
    </row>
    <row r="9" spans="1:47">
      <c r="A9" s="303" t="s">
        <v>61</v>
      </c>
      <c r="B9" s="40">
        <v>33.222257999999997</v>
      </c>
      <c r="C9" s="216">
        <v>0</v>
      </c>
      <c r="D9" s="259">
        <v>0</v>
      </c>
      <c r="E9" s="259">
        <v>100</v>
      </c>
      <c r="F9" s="257">
        <f t="shared" si="0"/>
        <v>40.779326499999996</v>
      </c>
      <c r="G9" s="451">
        <v>33.200040000000001</v>
      </c>
      <c r="H9" s="291">
        <v>0</v>
      </c>
      <c r="I9" s="298">
        <f>Ingredientes!I10</f>
        <v>0.66384042518999997</v>
      </c>
      <c r="J9" s="173"/>
      <c r="K9" s="173">
        <v>0.59060000000000001</v>
      </c>
      <c r="L9" s="87">
        <v>2</v>
      </c>
      <c r="M9" s="46">
        <f>B9*L9/100</f>
        <v>0.66444515999999998</v>
      </c>
      <c r="N9" s="154">
        <f t="shared" si="24"/>
        <v>0</v>
      </c>
      <c r="O9" s="223">
        <f t="shared" si="37"/>
        <v>0.81558652999999992</v>
      </c>
      <c r="P9" s="224">
        <f t="shared" si="8"/>
        <v>0.66400080000000006</v>
      </c>
      <c r="Q9" s="245">
        <f t="shared" si="9"/>
        <v>0</v>
      </c>
      <c r="R9" s="224">
        <f t="shared" si="10"/>
        <v>1.3276808503799999E-2</v>
      </c>
      <c r="S9" s="313">
        <f t="shared" si="11"/>
        <v>0</v>
      </c>
      <c r="T9" s="104">
        <f t="shared" si="38"/>
        <v>1.1812E-2</v>
      </c>
      <c r="U9" s="82">
        <v>4</v>
      </c>
      <c r="V9" s="47">
        <f>B9*U9/100</f>
        <v>1.32889032</v>
      </c>
      <c r="W9" s="132">
        <f t="shared" si="28"/>
        <v>0</v>
      </c>
      <c r="X9" s="231">
        <f t="shared" si="12"/>
        <v>1.6311730599999998</v>
      </c>
      <c r="Y9" s="230">
        <f t="shared" si="13"/>
        <v>1.3280016000000001</v>
      </c>
      <c r="Z9" s="331">
        <f t="shared" si="14"/>
        <v>0</v>
      </c>
      <c r="AA9" s="230">
        <f t="shared" si="15"/>
        <v>2.6553617007599999E-2</v>
      </c>
      <c r="AB9" s="230">
        <f t="shared" si="16"/>
        <v>0</v>
      </c>
      <c r="AC9" s="108">
        <f t="shared" si="39"/>
        <v>2.3623999999999999E-2</v>
      </c>
      <c r="AD9" s="93"/>
      <c r="AE9" s="51">
        <f t="shared" si="21"/>
        <v>0</v>
      </c>
      <c r="AF9" s="125">
        <f t="shared" si="30"/>
        <v>0</v>
      </c>
      <c r="AG9" s="234">
        <f t="shared" si="31"/>
        <v>0</v>
      </c>
      <c r="AH9" s="234">
        <f t="shared" si="17"/>
        <v>0</v>
      </c>
      <c r="AI9" s="233">
        <f t="shared" si="32"/>
        <v>0</v>
      </c>
      <c r="AJ9" s="234">
        <f t="shared" si="5"/>
        <v>0</v>
      </c>
      <c r="AK9" s="320">
        <f t="shared" si="6"/>
        <v>0</v>
      </c>
      <c r="AL9" s="112">
        <f t="shared" si="7"/>
        <v>0</v>
      </c>
      <c r="AM9" s="99">
        <v>0</v>
      </c>
      <c r="AN9" s="52">
        <f t="shared" si="22"/>
        <v>0</v>
      </c>
      <c r="AO9" s="130">
        <f>C9*AM9/10000</f>
        <v>0</v>
      </c>
      <c r="AP9" s="235">
        <f t="shared" ref="AP9:AP17" si="40">F9*AM9/100</f>
        <v>0</v>
      </c>
      <c r="AQ9" s="235">
        <f t="shared" si="18"/>
        <v>0</v>
      </c>
      <c r="AR9" s="237">
        <f t="shared" si="35"/>
        <v>0</v>
      </c>
      <c r="AS9" s="236">
        <f t="shared" si="19"/>
        <v>0</v>
      </c>
      <c r="AT9" s="323">
        <f t="shared" si="20"/>
        <v>0</v>
      </c>
      <c r="AU9" s="115">
        <f t="shared" si="36"/>
        <v>0</v>
      </c>
    </row>
    <row r="10" spans="1:47">
      <c r="A10" s="303" t="s">
        <v>62</v>
      </c>
      <c r="B10" s="40">
        <v>16.537859999999998</v>
      </c>
      <c r="C10" s="216">
        <v>94.5</v>
      </c>
      <c r="D10" s="259">
        <v>0.5</v>
      </c>
      <c r="E10" s="259">
        <v>0</v>
      </c>
      <c r="F10" s="263">
        <f t="shared" si="0"/>
        <v>23.18139175</v>
      </c>
      <c r="G10" s="452">
        <v>20.5016</v>
      </c>
      <c r="H10" s="292">
        <v>1.4999999999999999E-2</v>
      </c>
      <c r="I10" s="298">
        <f>Ingredientes!I11</f>
        <v>4.29</v>
      </c>
      <c r="J10" s="173"/>
      <c r="K10" s="173">
        <v>1.4129</v>
      </c>
      <c r="L10" s="87">
        <v>0.75559554131142903</v>
      </c>
      <c r="M10" s="46">
        <f>B10*L10/100</f>
        <v>0.12495933278832629</v>
      </c>
      <c r="N10" s="154">
        <f>C10*L10/10000</f>
        <v>7.1403778653930045E-3</v>
      </c>
      <c r="O10" s="223">
        <f t="shared" si="37"/>
        <v>0.17515756247693545</v>
      </c>
      <c r="P10" s="224">
        <f t="shared" si="8"/>
        <v>0.15490917549750394</v>
      </c>
      <c r="Q10" s="245">
        <f t="shared" si="9"/>
        <v>1.1333933119671435E-4</v>
      </c>
      <c r="R10" s="224">
        <f t="shared" si="10"/>
        <v>3.2415048722260302E-2</v>
      </c>
      <c r="S10" s="224">
        <f t="shared" si="11"/>
        <v>0</v>
      </c>
      <c r="T10" s="104">
        <f t="shared" si="38"/>
        <v>1.067580940318918E-2</v>
      </c>
      <c r="U10" s="82">
        <v>0.46351519690957199</v>
      </c>
      <c r="V10" s="47">
        <f>B10*U10/100</f>
        <v>7.6655494343629338E-2</v>
      </c>
      <c r="W10" s="132">
        <f>C10*U10/10000</f>
        <v>4.3802186107954558E-3</v>
      </c>
      <c r="X10" s="232">
        <f t="shared" si="12"/>
        <v>0.10744927361639178</v>
      </c>
      <c r="Y10" s="455">
        <f t="shared" si="13"/>
        <v>9.5028031609612817E-2</v>
      </c>
      <c r="Z10" s="332">
        <f t="shared" si="14"/>
        <v>6.9527279536435801E-5</v>
      </c>
      <c r="AA10" s="231">
        <f t="shared" si="15"/>
        <v>1.9884801947420639E-2</v>
      </c>
      <c r="AB10" s="231">
        <f t="shared" si="16"/>
        <v>0</v>
      </c>
      <c r="AC10" s="108">
        <f t="shared" si="39"/>
        <v>6.5490062171353423E-3</v>
      </c>
      <c r="AD10" s="93">
        <v>0.111617408206398</v>
      </c>
      <c r="AE10" s="51">
        <f t="shared" si="21"/>
        <v>1.8459130704802609E-2</v>
      </c>
      <c r="AF10" s="125">
        <f t="shared" si="30"/>
        <v>1.0547845075504611E-3</v>
      </c>
      <c r="AG10" s="234">
        <f t="shared" si="31"/>
        <v>2.5874468657521771E-2</v>
      </c>
      <c r="AH10" s="234">
        <f t="shared" si="17"/>
        <v>2.2883354560842891E-2</v>
      </c>
      <c r="AI10" s="233">
        <f t="shared" si="32"/>
        <v>1.6742611230959699E-5</v>
      </c>
      <c r="AJ10" s="234">
        <f t="shared" si="5"/>
        <v>4.7883868120544744E-3</v>
      </c>
      <c r="AK10" s="320">
        <f t="shared" si="6"/>
        <v>0</v>
      </c>
      <c r="AL10" s="112">
        <f t="shared" si="7"/>
        <v>1.5770423605481973E-3</v>
      </c>
      <c r="AM10" s="99">
        <v>0.193604778061512</v>
      </c>
      <c r="AN10" s="52">
        <f t="shared" si="22"/>
        <v>3.2018087149123568E-2</v>
      </c>
      <c r="AO10" s="130">
        <f>C10*AM10/10000</f>
        <v>1.8295651526812882E-3</v>
      </c>
      <c r="AP10" s="235">
        <f t="shared" si="40"/>
        <v>4.4880282049157151E-2</v>
      </c>
      <c r="AQ10" s="235">
        <f t="shared" si="18"/>
        <v>3.9692077179058941E-2</v>
      </c>
      <c r="AR10" s="237">
        <f t="shared" si="35"/>
        <v>2.9040716709226797E-5</v>
      </c>
      <c r="AS10" s="236">
        <f t="shared" si="19"/>
        <v>8.305644978838865E-3</v>
      </c>
      <c r="AT10" s="323">
        <f t="shared" si="20"/>
        <v>0</v>
      </c>
      <c r="AU10" s="115">
        <f t="shared" si="36"/>
        <v>2.7354419092311035E-3</v>
      </c>
    </row>
    <row r="11" spans="1:47">
      <c r="A11" s="303" t="s">
        <v>63</v>
      </c>
      <c r="B11" s="40">
        <v>21.059604</v>
      </c>
      <c r="C11" s="216">
        <v>58.5</v>
      </c>
      <c r="D11" s="257">
        <v>0.5</v>
      </c>
      <c r="E11" s="257">
        <v>0</v>
      </c>
      <c r="F11" s="257">
        <f t="shared" si="0"/>
        <v>20.921221750000001</v>
      </c>
      <c r="G11" s="451">
        <v>23.848800000000001</v>
      </c>
      <c r="H11" s="292">
        <v>4.0000000000000001E-3</v>
      </c>
      <c r="I11" s="298">
        <f>Ingredientes!I12</f>
        <v>2.96</v>
      </c>
      <c r="J11" s="173"/>
      <c r="K11" s="173">
        <v>5.2363999999999997</v>
      </c>
      <c r="L11" s="87">
        <v>8.9792713115746299</v>
      </c>
      <c r="M11" s="46">
        <f>B11*L11/100</f>
        <v>1.8909989803032232</v>
      </c>
      <c r="N11" s="154">
        <f>C11*L11/10000</f>
        <v>5.2528737172711587E-2</v>
      </c>
      <c r="O11" s="223">
        <f t="shared" si="37"/>
        <v>1.878573262628662</v>
      </c>
      <c r="P11" s="224">
        <f t="shared" si="8"/>
        <v>2.1414484565548104</v>
      </c>
      <c r="Q11" s="245">
        <f t="shared" si="9"/>
        <v>3.591708524629852E-4</v>
      </c>
      <c r="R11" s="224">
        <f t="shared" si="10"/>
        <v>0.26578643082260905</v>
      </c>
      <c r="S11" s="224">
        <f t="shared" si="11"/>
        <v>0</v>
      </c>
      <c r="T11" s="104">
        <f t="shared" si="38"/>
        <v>0.4701905629592939</v>
      </c>
      <c r="U11" s="82">
        <v>9.7452322144272796E-2</v>
      </c>
      <c r="V11" s="47">
        <f>B11*U11/100</f>
        <v>2.0523073132388162E-2</v>
      </c>
      <c r="W11" s="132">
        <f>C11*U11/10000</f>
        <v>5.700960845439958E-4</v>
      </c>
      <c r="X11" s="230">
        <f t="shared" si="12"/>
        <v>2.0388216416327667E-2</v>
      </c>
      <c r="Y11" s="319">
        <f t="shared" si="13"/>
        <v>2.3241209403543333E-2</v>
      </c>
      <c r="Z11" s="331">
        <f t="shared" si="14"/>
        <v>3.8980928857709121E-6</v>
      </c>
      <c r="AA11" s="230">
        <f t="shared" si="15"/>
        <v>2.8845887354704749E-3</v>
      </c>
      <c r="AB11" s="230">
        <f t="shared" si="16"/>
        <v>0</v>
      </c>
      <c r="AC11" s="108">
        <f t="shared" si="39"/>
        <v>5.1029933967627009E-3</v>
      </c>
      <c r="AD11" s="93"/>
      <c r="AE11" s="51">
        <f t="shared" si="21"/>
        <v>0</v>
      </c>
      <c r="AF11" s="125">
        <f t="shared" si="30"/>
        <v>0</v>
      </c>
      <c r="AG11" s="234">
        <f t="shared" si="31"/>
        <v>0</v>
      </c>
      <c r="AH11" s="234">
        <f t="shared" si="17"/>
        <v>0</v>
      </c>
      <c r="AI11" s="233">
        <f t="shared" si="32"/>
        <v>0</v>
      </c>
      <c r="AJ11" s="234">
        <f t="shared" si="5"/>
        <v>0</v>
      </c>
      <c r="AK11" s="320">
        <f t="shared" si="6"/>
        <v>0</v>
      </c>
      <c r="AL11" s="112">
        <f t="shared" si="7"/>
        <v>0</v>
      </c>
      <c r="AM11" s="99">
        <v>0</v>
      </c>
      <c r="AN11" s="52">
        <f t="shared" si="22"/>
        <v>0</v>
      </c>
      <c r="AO11" s="130">
        <f t="shared" ref="AO11:AO17" si="41">C11*AM11/10000</f>
        <v>0</v>
      </c>
      <c r="AP11" s="235">
        <f t="shared" si="40"/>
        <v>0</v>
      </c>
      <c r="AQ11" s="235">
        <f t="shared" si="18"/>
        <v>0</v>
      </c>
      <c r="AR11" s="237">
        <f t="shared" si="35"/>
        <v>0</v>
      </c>
      <c r="AS11" s="236">
        <f t="shared" si="19"/>
        <v>0</v>
      </c>
      <c r="AT11" s="323">
        <f t="shared" si="20"/>
        <v>0</v>
      </c>
      <c r="AU11" s="115">
        <f t="shared" si="36"/>
        <v>0</v>
      </c>
    </row>
    <row r="12" spans="1:47">
      <c r="A12" s="303" t="s">
        <v>64</v>
      </c>
      <c r="B12" s="40">
        <v>15.867972</v>
      </c>
      <c r="C12" s="216">
        <v>72.5</v>
      </c>
      <c r="D12" s="258">
        <v>0.5</v>
      </c>
      <c r="E12" s="258">
        <v>0</v>
      </c>
      <c r="F12" s="263">
        <f t="shared" si="0"/>
        <v>21.800176749999999</v>
      </c>
      <c r="G12" s="452">
        <v>17.23808</v>
      </c>
      <c r="H12" s="292">
        <v>7.0000000000000001E-3</v>
      </c>
      <c r="I12" s="298">
        <f>Ingredientes!I13</f>
        <v>4.29</v>
      </c>
      <c r="J12" s="173"/>
      <c r="K12" s="173">
        <v>2.4188999999999998</v>
      </c>
      <c r="L12" s="87">
        <v>3.3273684293550101</v>
      </c>
      <c r="M12" s="46">
        <f>B12*L12/100</f>
        <v>0.52798589070689272</v>
      </c>
      <c r="N12" s="154">
        <f>C12*L12/10000</f>
        <v>2.4123421112823822E-2</v>
      </c>
      <c r="O12" s="223">
        <f t="shared" si="37"/>
        <v>0.72537219872309111</v>
      </c>
      <c r="P12" s="223">
        <f t="shared" si="8"/>
        <v>0.57357443174696021</v>
      </c>
      <c r="Q12" s="244">
        <f t="shared" si="9"/>
        <v>2.3291579005485071E-4</v>
      </c>
      <c r="R12" s="224">
        <f t="shared" si="10"/>
        <v>0.14274410561932993</v>
      </c>
      <c r="S12" s="224">
        <f t="shared" si="11"/>
        <v>0</v>
      </c>
      <c r="T12" s="104">
        <f t="shared" si="38"/>
        <v>8.0485714937668332E-2</v>
      </c>
      <c r="U12" s="82">
        <v>1.56873733635571</v>
      </c>
      <c r="V12" s="47">
        <f>B12*U12/100</f>
        <v>0.24892680128646988</v>
      </c>
      <c r="W12" s="150">
        <f>C12*U12/10000</f>
        <v>1.1373345688578897E-2</v>
      </c>
      <c r="X12" s="230">
        <f t="shared" si="12"/>
        <v>0.34198751206878675</v>
      </c>
      <c r="Y12" s="230">
        <f t="shared" si="13"/>
        <v>0.27042019703086639</v>
      </c>
      <c r="Z12" s="150">
        <f t="shared" si="14"/>
        <v>1.098116135448997E-4</v>
      </c>
      <c r="AA12" s="231">
        <f t="shared" si="15"/>
        <v>6.7298831729659961E-2</v>
      </c>
      <c r="AB12" s="231">
        <f t="shared" si="16"/>
        <v>0</v>
      </c>
      <c r="AC12" s="108">
        <f t="shared" si="39"/>
        <v>3.7946187429108262E-2</v>
      </c>
      <c r="AD12" s="93"/>
      <c r="AE12" s="51">
        <f t="shared" si="21"/>
        <v>0</v>
      </c>
      <c r="AF12" s="125">
        <f t="shared" si="30"/>
        <v>0</v>
      </c>
      <c r="AG12" s="234">
        <f t="shared" si="31"/>
        <v>0</v>
      </c>
      <c r="AH12" s="234">
        <f t="shared" si="17"/>
        <v>0</v>
      </c>
      <c r="AI12" s="233">
        <f t="shared" si="32"/>
        <v>0</v>
      </c>
      <c r="AJ12" s="234">
        <f t="shared" si="5"/>
        <v>0</v>
      </c>
      <c r="AK12" s="320">
        <f t="shared" si="6"/>
        <v>0</v>
      </c>
      <c r="AL12" s="112">
        <f t="shared" si="7"/>
        <v>0</v>
      </c>
      <c r="AM12" s="99">
        <v>0.52225498280393801</v>
      </c>
      <c r="AN12" s="52">
        <f t="shared" si="22"/>
        <v>8.2871274439933695E-2</v>
      </c>
      <c r="AO12" s="130">
        <f t="shared" si="41"/>
        <v>3.7863486253285508E-3</v>
      </c>
      <c r="AP12" s="235">
        <f t="shared" si="40"/>
        <v>0.11385250933694058</v>
      </c>
      <c r="AQ12" s="235">
        <f t="shared" si="18"/>
        <v>9.0026731739729068E-2</v>
      </c>
      <c r="AR12" s="237">
        <f t="shared" si="35"/>
        <v>3.6557848796275659E-5</v>
      </c>
      <c r="AS12" s="236">
        <f t="shared" si="19"/>
        <v>2.2404738762288941E-2</v>
      </c>
      <c r="AT12" s="323">
        <f t="shared" si="20"/>
        <v>0</v>
      </c>
      <c r="AU12" s="115">
        <f t="shared" ref="AU12:AU17" si="42">K12*AM12/100</f>
        <v>1.2632825779044456E-2</v>
      </c>
    </row>
    <row r="13" spans="1:47">
      <c r="A13" s="303" t="s">
        <v>41</v>
      </c>
      <c r="B13" s="40"/>
      <c r="C13" s="216"/>
      <c r="D13" s="258">
        <v>98</v>
      </c>
      <c r="E13" s="258">
        <v>0</v>
      </c>
      <c r="F13" s="263"/>
      <c r="G13" s="453"/>
      <c r="H13" s="293">
        <v>7.0000000000000001E-3</v>
      </c>
      <c r="I13" s="298">
        <f>Ingredientes!I14</f>
        <v>0.436</v>
      </c>
      <c r="J13" s="173"/>
      <c r="K13" s="173">
        <v>0.03</v>
      </c>
      <c r="L13" s="87">
        <v>0.43377058409092201</v>
      </c>
      <c r="M13" s="46">
        <f t="shared" ref="M13:M17" si="43">B13*L13/100</f>
        <v>0</v>
      </c>
      <c r="N13" s="154">
        <f t="shared" ref="N13:N17" si="44">C13*L13/10000</f>
        <v>0</v>
      </c>
      <c r="O13" s="223">
        <f t="shared" si="37"/>
        <v>0</v>
      </c>
      <c r="P13" s="223">
        <f t="shared" si="8"/>
        <v>0</v>
      </c>
      <c r="Q13" s="244">
        <f t="shared" si="9"/>
        <v>3.0363940886364541E-5</v>
      </c>
      <c r="R13" s="224">
        <f t="shared" si="10"/>
        <v>1.8912397466364201E-3</v>
      </c>
      <c r="S13" s="223">
        <f t="shared" si="11"/>
        <v>0</v>
      </c>
      <c r="T13" s="104">
        <f t="shared" si="38"/>
        <v>1.3013117522727658E-4</v>
      </c>
      <c r="U13" s="82">
        <v>0.64420586931897805</v>
      </c>
      <c r="V13" s="47">
        <f t="shared" ref="V13:V17" si="45">B13*U13/100</f>
        <v>0</v>
      </c>
      <c r="W13" s="150">
        <f t="shared" ref="W13:W16" si="46">C13*U13/10000</f>
        <v>0</v>
      </c>
      <c r="X13" s="231">
        <f t="shared" si="12"/>
        <v>0</v>
      </c>
      <c r="Y13" s="231">
        <f t="shared" si="13"/>
        <v>0</v>
      </c>
      <c r="Z13" s="150">
        <f t="shared" si="14"/>
        <v>4.5094410852328462E-5</v>
      </c>
      <c r="AA13" s="230">
        <f t="shared" si="15"/>
        <v>2.8087375902307444E-3</v>
      </c>
      <c r="AB13" s="230">
        <f t="shared" si="16"/>
        <v>0</v>
      </c>
      <c r="AC13" s="108">
        <f t="shared" si="39"/>
        <v>1.9326176079569342E-4</v>
      </c>
      <c r="AD13" s="93">
        <v>0.85990889060697695</v>
      </c>
      <c r="AE13" s="51">
        <f t="shared" si="21"/>
        <v>0</v>
      </c>
      <c r="AF13" s="125">
        <f t="shared" si="30"/>
        <v>0</v>
      </c>
      <c r="AG13" s="234">
        <f t="shared" si="31"/>
        <v>0</v>
      </c>
      <c r="AH13" s="234">
        <f t="shared" si="17"/>
        <v>0</v>
      </c>
      <c r="AI13" s="233">
        <f t="shared" si="32"/>
        <v>6.0193622342488386E-5</v>
      </c>
      <c r="AJ13" s="234">
        <f t="shared" si="5"/>
        <v>3.7492027630464195E-3</v>
      </c>
      <c r="AK13" s="320">
        <f t="shared" si="6"/>
        <v>0</v>
      </c>
      <c r="AL13" s="112">
        <f t="shared" si="7"/>
        <v>2.5797266718209308E-4</v>
      </c>
      <c r="AM13" s="99">
        <v>1.1384564437689899</v>
      </c>
      <c r="AN13" s="52">
        <f t="shared" si="22"/>
        <v>0</v>
      </c>
      <c r="AO13" s="130">
        <f t="shared" si="41"/>
        <v>0</v>
      </c>
      <c r="AP13" s="235">
        <f t="shared" si="40"/>
        <v>0</v>
      </c>
      <c r="AQ13" s="235">
        <f t="shared" si="18"/>
        <v>0</v>
      </c>
      <c r="AR13" s="237">
        <f t="shared" si="35"/>
        <v>7.9691951063829301E-5</v>
      </c>
      <c r="AS13" s="236">
        <f t="shared" si="19"/>
        <v>4.963670094832796E-3</v>
      </c>
      <c r="AT13" s="323">
        <f t="shared" si="20"/>
        <v>0</v>
      </c>
      <c r="AU13" s="115">
        <f t="shared" si="42"/>
        <v>3.4153693313069693E-4</v>
      </c>
    </row>
    <row r="14" spans="1:47">
      <c r="A14" s="303" t="s">
        <v>42</v>
      </c>
      <c r="B14" s="40"/>
      <c r="C14" s="216"/>
      <c r="D14" s="258">
        <v>88</v>
      </c>
      <c r="E14" s="258">
        <v>0</v>
      </c>
      <c r="F14" s="257">
        <f>17.3405265+E14*0.234388+0.0627825*C14-0.184162*D14</f>
        <v>1.1342704999999995</v>
      </c>
      <c r="G14" s="451"/>
      <c r="H14" s="291">
        <v>7.0000000000000001E-3</v>
      </c>
      <c r="I14" s="298">
        <f>Ingredientes!I15</f>
        <v>1.202</v>
      </c>
      <c r="J14" s="173"/>
      <c r="K14" s="173">
        <v>0.44209999999999999</v>
      </c>
      <c r="L14" s="87">
        <v>1.73059894330223</v>
      </c>
      <c r="M14" s="46">
        <f t="shared" si="43"/>
        <v>0</v>
      </c>
      <c r="N14" s="154">
        <f t="shared" si="44"/>
        <v>0</v>
      </c>
      <c r="O14" s="223">
        <f t="shared" si="37"/>
        <v>1.9629673287188912E-2</v>
      </c>
      <c r="P14" s="223">
        <f t="shared" si="8"/>
        <v>0</v>
      </c>
      <c r="Q14" s="244">
        <f t="shared" si="9"/>
        <v>1.2114192603115611E-4</v>
      </c>
      <c r="R14" s="224">
        <f t="shared" si="10"/>
        <v>2.0801799298492806E-2</v>
      </c>
      <c r="S14" s="313">
        <f t="shared" si="11"/>
        <v>0</v>
      </c>
      <c r="T14" s="104">
        <f t="shared" si="38"/>
        <v>7.6509779283391588E-3</v>
      </c>
      <c r="U14" s="82">
        <v>1.1885677894054101</v>
      </c>
      <c r="V14" s="47">
        <f t="shared" si="45"/>
        <v>0</v>
      </c>
      <c r="W14" s="150">
        <f t="shared" si="46"/>
        <v>0</v>
      </c>
      <c r="X14" s="230">
        <f t="shared" si="12"/>
        <v>1.3481573807727687E-2</v>
      </c>
      <c r="Y14" s="230">
        <f t="shared" si="13"/>
        <v>0</v>
      </c>
      <c r="Z14" s="150">
        <f t="shared" si="14"/>
        <v>8.3199745258378705E-5</v>
      </c>
      <c r="AA14" s="231">
        <f t="shared" si="15"/>
        <v>1.4286584828653028E-2</v>
      </c>
      <c r="AB14" s="231">
        <f t="shared" si="16"/>
        <v>0</v>
      </c>
      <c r="AC14" s="108">
        <f t="shared" si="39"/>
        <v>5.2546581969613185E-3</v>
      </c>
      <c r="AD14" s="93">
        <v>1.4309156557635201</v>
      </c>
      <c r="AE14" s="51">
        <f t="shared" si="21"/>
        <v>0</v>
      </c>
      <c r="AF14" s="125">
        <f t="shared" si="30"/>
        <v>0</v>
      </c>
      <c r="AG14" s="234">
        <f t="shared" si="31"/>
        <v>1.6230454163207151E-2</v>
      </c>
      <c r="AH14" s="234">
        <f t="shared" si="17"/>
        <v>0</v>
      </c>
      <c r="AI14" s="233">
        <f t="shared" si="32"/>
        <v>1.0016409590344641E-4</v>
      </c>
      <c r="AJ14" s="234">
        <f t="shared" si="5"/>
        <v>1.7199606182277512E-2</v>
      </c>
      <c r="AK14" s="320">
        <f t="shared" si="6"/>
        <v>0</v>
      </c>
      <c r="AL14" s="112">
        <f t="shared" si="7"/>
        <v>6.3260781141305225E-3</v>
      </c>
      <c r="AM14" s="99">
        <v>1.5192415076244199</v>
      </c>
      <c r="AN14" s="52">
        <f t="shared" si="22"/>
        <v>0</v>
      </c>
      <c r="AO14" s="130">
        <f t="shared" si="41"/>
        <v>0</v>
      </c>
      <c r="AP14" s="235">
        <f t="shared" si="40"/>
        <v>1.723230824473904E-2</v>
      </c>
      <c r="AQ14" s="235">
        <f t="shared" si="18"/>
        <v>0</v>
      </c>
      <c r="AR14" s="237">
        <f t="shared" si="35"/>
        <v>1.0634690553370939E-4</v>
      </c>
      <c r="AS14" s="236">
        <f t="shared" si="19"/>
        <v>1.8261282921645527E-2</v>
      </c>
      <c r="AT14" s="323">
        <f t="shared" si="20"/>
        <v>0</v>
      </c>
      <c r="AU14" s="115">
        <f t="shared" si="42"/>
        <v>6.716566705207561E-3</v>
      </c>
    </row>
    <row r="15" spans="1:47">
      <c r="A15" s="304" t="s">
        <v>65</v>
      </c>
      <c r="B15" s="69"/>
      <c r="C15" s="217"/>
      <c r="D15" s="259">
        <v>96</v>
      </c>
      <c r="E15" s="259">
        <v>0</v>
      </c>
      <c r="F15" s="263"/>
      <c r="G15" s="452"/>
      <c r="H15" s="294">
        <v>0</v>
      </c>
      <c r="I15" s="298">
        <f>Ingredientes!I16</f>
        <v>0.216</v>
      </c>
      <c r="J15" s="173"/>
      <c r="K15" s="174">
        <v>7.3099999999999998E-2</v>
      </c>
      <c r="L15" s="88">
        <v>0</v>
      </c>
      <c r="M15" s="46">
        <f t="shared" si="43"/>
        <v>0</v>
      </c>
      <c r="N15" s="154">
        <f t="shared" si="44"/>
        <v>0</v>
      </c>
      <c r="O15" s="223">
        <f t="shared" si="37"/>
        <v>0</v>
      </c>
      <c r="P15" s="223">
        <f t="shared" si="8"/>
        <v>0</v>
      </c>
      <c r="Q15" s="244">
        <f t="shared" si="9"/>
        <v>0</v>
      </c>
      <c r="R15" s="224">
        <f t="shared" si="10"/>
        <v>0</v>
      </c>
      <c r="S15" s="224">
        <f t="shared" si="11"/>
        <v>0</v>
      </c>
      <c r="T15" s="105">
        <f t="shared" si="38"/>
        <v>0</v>
      </c>
      <c r="U15" s="83">
        <v>1.5751120518267801E-2</v>
      </c>
      <c r="V15" s="47">
        <f t="shared" si="45"/>
        <v>0</v>
      </c>
      <c r="W15" s="150">
        <f t="shared" si="46"/>
        <v>0</v>
      </c>
      <c r="X15" s="230">
        <f t="shared" si="12"/>
        <v>0</v>
      </c>
      <c r="Y15" s="455">
        <f t="shared" si="13"/>
        <v>0</v>
      </c>
      <c r="Z15" s="332">
        <f t="shared" si="14"/>
        <v>0</v>
      </c>
      <c r="AA15" s="319">
        <f t="shared" si="15"/>
        <v>3.4022420319458452E-5</v>
      </c>
      <c r="AB15" s="230">
        <f t="shared" si="16"/>
        <v>0</v>
      </c>
      <c r="AC15" s="109">
        <f t="shared" si="39"/>
        <v>1.1514069098853762E-5</v>
      </c>
      <c r="AD15" s="94">
        <v>0.10105898302708299</v>
      </c>
      <c r="AE15" s="51">
        <f t="shared" si="21"/>
        <v>0</v>
      </c>
      <c r="AF15" s="125">
        <f t="shared" si="30"/>
        <v>0</v>
      </c>
      <c r="AG15" s="234">
        <f t="shared" si="31"/>
        <v>0</v>
      </c>
      <c r="AH15" s="234">
        <f t="shared" si="17"/>
        <v>0</v>
      </c>
      <c r="AI15" s="233">
        <f t="shared" si="32"/>
        <v>0</v>
      </c>
      <c r="AJ15" s="234">
        <f t="shared" si="5"/>
        <v>2.1828740333849927E-4</v>
      </c>
      <c r="AK15" s="320">
        <f t="shared" si="6"/>
        <v>0</v>
      </c>
      <c r="AL15" s="112">
        <f t="shared" si="7"/>
        <v>7.3874116592797677E-5</v>
      </c>
      <c r="AM15" s="100">
        <v>0.26905832433940402</v>
      </c>
      <c r="AN15" s="52">
        <f t="shared" si="22"/>
        <v>0</v>
      </c>
      <c r="AO15" s="130">
        <f t="shared" si="41"/>
        <v>0</v>
      </c>
      <c r="AP15" s="235">
        <f t="shared" si="40"/>
        <v>0</v>
      </c>
      <c r="AQ15" s="235">
        <f t="shared" si="18"/>
        <v>0</v>
      </c>
      <c r="AR15" s="237">
        <f t="shared" si="35"/>
        <v>0</v>
      </c>
      <c r="AS15" s="236">
        <f t="shared" si="19"/>
        <v>5.8116598057311264E-4</v>
      </c>
      <c r="AT15" s="323">
        <f t="shared" si="20"/>
        <v>0</v>
      </c>
      <c r="AU15" s="116">
        <f t="shared" si="42"/>
        <v>1.9668163509210432E-4</v>
      </c>
    </row>
    <row r="16" spans="1:47">
      <c r="A16" s="304" t="s">
        <v>66</v>
      </c>
      <c r="B16" s="69"/>
      <c r="C16" s="217"/>
      <c r="D16" s="259">
        <v>99</v>
      </c>
      <c r="E16" s="259">
        <v>0</v>
      </c>
      <c r="F16" s="263"/>
      <c r="G16" s="453"/>
      <c r="H16" s="295">
        <v>0</v>
      </c>
      <c r="I16" s="298">
        <f>Ingredientes!I17</f>
        <v>0.436</v>
      </c>
      <c r="J16" s="173"/>
      <c r="K16" s="174">
        <v>0.27779999999999999</v>
      </c>
      <c r="L16" s="88">
        <v>8.7834434044104093</v>
      </c>
      <c r="M16" s="46">
        <f t="shared" si="43"/>
        <v>0</v>
      </c>
      <c r="N16" s="154">
        <f t="shared" si="44"/>
        <v>0</v>
      </c>
      <c r="O16" s="223">
        <f t="shared" si="37"/>
        <v>0</v>
      </c>
      <c r="P16" s="223">
        <f t="shared" si="8"/>
        <v>0</v>
      </c>
      <c r="Q16" s="244">
        <f t="shared" si="9"/>
        <v>0</v>
      </c>
      <c r="R16" s="223">
        <f t="shared" si="10"/>
        <v>3.8295813243229386E-2</v>
      </c>
      <c r="S16" s="224">
        <f t="shared" si="11"/>
        <v>0</v>
      </c>
      <c r="T16" s="105">
        <f t="shared" si="38"/>
        <v>2.4400405777452113E-2</v>
      </c>
      <c r="U16" s="83">
        <v>0.56917467994186599</v>
      </c>
      <c r="V16" s="47">
        <f t="shared" si="45"/>
        <v>0</v>
      </c>
      <c r="W16" s="150">
        <f t="shared" si="46"/>
        <v>0</v>
      </c>
      <c r="X16" s="230">
        <f t="shared" si="12"/>
        <v>0</v>
      </c>
      <c r="Y16" s="230">
        <f t="shared" si="13"/>
        <v>0</v>
      </c>
      <c r="Z16" s="150">
        <f t="shared" si="14"/>
        <v>0</v>
      </c>
      <c r="AA16" s="230">
        <f t="shared" si="15"/>
        <v>2.481601604546536E-3</v>
      </c>
      <c r="AB16" s="230">
        <f t="shared" si="16"/>
        <v>0</v>
      </c>
      <c r="AC16" s="109">
        <f t="shared" si="39"/>
        <v>1.5811672608785038E-3</v>
      </c>
      <c r="AD16" s="94">
        <v>0.44207927029185201</v>
      </c>
      <c r="AE16" s="51">
        <f t="shared" si="21"/>
        <v>0</v>
      </c>
      <c r="AF16" s="125">
        <f t="shared" si="30"/>
        <v>0</v>
      </c>
      <c r="AG16" s="234">
        <f t="shared" si="31"/>
        <v>0</v>
      </c>
      <c r="AH16" s="234">
        <f t="shared" si="17"/>
        <v>0</v>
      </c>
      <c r="AI16" s="233">
        <f t="shared" si="32"/>
        <v>0</v>
      </c>
      <c r="AJ16" s="234">
        <f t="shared" si="5"/>
        <v>1.9274656184724748E-3</v>
      </c>
      <c r="AK16" s="320">
        <f t="shared" si="6"/>
        <v>0</v>
      </c>
      <c r="AL16" s="112">
        <f t="shared" si="7"/>
        <v>1.2280962128707648E-3</v>
      </c>
      <c r="AM16" s="100">
        <v>0.244843517626432</v>
      </c>
      <c r="AN16" s="52">
        <f t="shared" si="22"/>
        <v>0</v>
      </c>
      <c r="AO16" s="130">
        <f t="shared" si="41"/>
        <v>0</v>
      </c>
      <c r="AP16" s="235">
        <f t="shared" si="40"/>
        <v>0</v>
      </c>
      <c r="AQ16" s="235">
        <f t="shared" si="18"/>
        <v>0</v>
      </c>
      <c r="AR16" s="237">
        <f t="shared" si="35"/>
        <v>0</v>
      </c>
      <c r="AS16" s="236">
        <f t="shared" si="19"/>
        <v>1.0675177368512435E-3</v>
      </c>
      <c r="AT16" s="323">
        <f t="shared" si="20"/>
        <v>0</v>
      </c>
      <c r="AU16" s="116">
        <f t="shared" si="42"/>
        <v>6.8017529196622809E-4</v>
      </c>
    </row>
    <row r="17" spans="1:47" ht="15.75" thickBot="1">
      <c r="A17" s="305" t="s">
        <v>43</v>
      </c>
      <c r="B17" s="42"/>
      <c r="C17" s="218"/>
      <c r="D17" s="257"/>
      <c r="E17" s="257"/>
      <c r="F17" s="257"/>
      <c r="G17" s="451"/>
      <c r="H17" s="296">
        <v>0</v>
      </c>
      <c r="I17" s="299">
        <f>Ingredientes!I18</f>
        <v>1.8523902952</v>
      </c>
      <c r="J17" s="300">
        <f>Ingredientes!J18</f>
        <v>0.46517388235294121</v>
      </c>
      <c r="K17" s="175">
        <v>2.41</v>
      </c>
      <c r="L17" s="89">
        <v>0.3</v>
      </c>
      <c r="M17" s="367">
        <f t="shared" si="43"/>
        <v>0</v>
      </c>
      <c r="N17" s="368">
        <f t="shared" si="44"/>
        <v>0</v>
      </c>
      <c r="O17" s="222">
        <f t="shared" si="37"/>
        <v>0</v>
      </c>
      <c r="P17" s="222">
        <f t="shared" si="8"/>
        <v>0</v>
      </c>
      <c r="Q17" s="260">
        <f t="shared" si="9"/>
        <v>0</v>
      </c>
      <c r="R17" s="222">
        <f t="shared" si="10"/>
        <v>5.5571708855999997E-3</v>
      </c>
      <c r="S17" s="222">
        <f t="shared" si="11"/>
        <v>1.3955216470588237E-3</v>
      </c>
      <c r="T17" s="106">
        <f>L17*K17/100</f>
        <v>7.2299999999999994E-3</v>
      </c>
      <c r="U17" s="84">
        <v>0.3</v>
      </c>
      <c r="V17" s="48">
        <f t="shared" si="45"/>
        <v>0</v>
      </c>
      <c r="W17" s="151">
        <f>C17*U17/10000</f>
        <v>0</v>
      </c>
      <c r="X17" s="317">
        <f t="shared" si="12"/>
        <v>0</v>
      </c>
      <c r="Y17" s="456">
        <f t="shared" si="13"/>
        <v>0</v>
      </c>
      <c r="Z17" s="369">
        <f t="shared" si="14"/>
        <v>0</v>
      </c>
      <c r="AA17" s="317">
        <f t="shared" si="15"/>
        <v>5.5571708855999997E-3</v>
      </c>
      <c r="AB17" s="317">
        <f t="shared" si="16"/>
        <v>1.3955216470588237E-3</v>
      </c>
      <c r="AC17" s="110">
        <f t="shared" si="39"/>
        <v>7.2299999999999994E-3</v>
      </c>
      <c r="AD17" s="95">
        <v>0.3</v>
      </c>
      <c r="AE17" s="51">
        <f t="shared" si="21"/>
        <v>0</v>
      </c>
      <c r="AF17" s="125">
        <f t="shared" si="30"/>
        <v>0</v>
      </c>
      <c r="AG17" s="234">
        <f t="shared" si="31"/>
        <v>0</v>
      </c>
      <c r="AH17" s="234">
        <f t="shared" si="17"/>
        <v>0</v>
      </c>
      <c r="AI17" s="233">
        <f t="shared" si="32"/>
        <v>0</v>
      </c>
      <c r="AJ17" s="234">
        <f t="shared" si="5"/>
        <v>5.5571708855999997E-3</v>
      </c>
      <c r="AK17" s="320">
        <f t="shared" si="6"/>
        <v>1.3955216470588237E-3</v>
      </c>
      <c r="AL17" s="112">
        <f t="shared" si="7"/>
        <v>7.2299999999999994E-3</v>
      </c>
      <c r="AM17" s="101">
        <v>0.3</v>
      </c>
      <c r="AN17" s="375">
        <f t="shared" si="22"/>
        <v>0</v>
      </c>
      <c r="AO17" s="152">
        <f t="shared" si="41"/>
        <v>0</v>
      </c>
      <c r="AP17" s="370">
        <f t="shared" si="40"/>
        <v>0</v>
      </c>
      <c r="AQ17" s="370">
        <f t="shared" si="18"/>
        <v>0</v>
      </c>
      <c r="AR17" s="152">
        <f t="shared" si="35"/>
        <v>0</v>
      </c>
      <c r="AS17" s="328">
        <f t="shared" si="19"/>
        <v>5.5571708855999997E-3</v>
      </c>
      <c r="AT17" s="324">
        <f t="shared" si="20"/>
        <v>1.3955216470588237E-3</v>
      </c>
      <c r="AU17" s="117">
        <f t="shared" si="42"/>
        <v>7.2299999999999994E-3</v>
      </c>
    </row>
    <row r="18" spans="1:47" ht="16.5" thickTop="1" thickBot="1">
      <c r="D18" s="220"/>
      <c r="E18" s="220"/>
      <c r="F18" s="220"/>
      <c r="G18" s="220"/>
      <c r="H18" s="239"/>
      <c r="I18" s="219"/>
      <c r="J18" s="147"/>
      <c r="K18" s="289"/>
      <c r="L18" s="43" t="s">
        <v>44</v>
      </c>
      <c r="M18" s="49">
        <f t="shared" ref="M18:T18" si="47">SUM(M3:M17)</f>
        <v>13.334957999102619</v>
      </c>
      <c r="N18" s="155">
        <f t="shared" si="47"/>
        <v>0.1799999999885192</v>
      </c>
      <c r="O18" s="225">
        <f t="shared" si="47"/>
        <v>17.282389862067557</v>
      </c>
      <c r="P18" s="225">
        <f t="shared" si="47"/>
        <v>13.981200237576646</v>
      </c>
      <c r="Q18" s="240">
        <f t="shared" si="47"/>
        <v>9.9669065301799142E-2</v>
      </c>
      <c r="R18" s="225">
        <f t="shared" si="47"/>
        <v>1.4332719763721018</v>
      </c>
      <c r="S18" s="225">
        <f t="shared" si="47"/>
        <v>4.4270046769254696</v>
      </c>
      <c r="T18" s="213">
        <f t="shared" si="47"/>
        <v>0.77512280719457505</v>
      </c>
      <c r="U18" s="44" t="s">
        <v>44</v>
      </c>
      <c r="V18" s="50">
        <f t="shared" ref="V18:AC18" si="48">SUM(V3:V17)</f>
        <v>13.314024000138911</v>
      </c>
      <c r="W18" s="124">
        <f t="shared" si="48"/>
        <v>0.15965575114154118</v>
      </c>
      <c r="X18" s="226">
        <f t="shared" si="48"/>
        <v>18.798144508755176</v>
      </c>
      <c r="Y18" s="226">
        <f t="shared" si="48"/>
        <v>13.806956793834605</v>
      </c>
      <c r="Z18" s="124">
        <f t="shared" si="48"/>
        <v>9.6634981160790959E-2</v>
      </c>
      <c r="AA18" s="226">
        <f t="shared" si="48"/>
        <v>1.4077013193337129</v>
      </c>
      <c r="AB18" s="226">
        <f t="shared" si="48"/>
        <v>2.3226782594459161</v>
      </c>
      <c r="AC18" s="111">
        <f t="shared" si="48"/>
        <v>0.27664338472615174</v>
      </c>
      <c r="AD18" s="90" t="s">
        <v>44</v>
      </c>
      <c r="AE18" s="53">
        <f t="shared" ref="AE18:AL18" si="49">SUM(AE3:AE17)</f>
        <v>12.037049999313899</v>
      </c>
      <c r="AF18" s="126">
        <f t="shared" si="49"/>
        <v>0.13794278393870479</v>
      </c>
      <c r="AG18" s="227">
        <f>SUM(AG3:AG17)</f>
        <v>17.631913784479448</v>
      </c>
      <c r="AH18" s="227">
        <f>SUM(AH3:AH17)</f>
        <v>12.506528444410586</v>
      </c>
      <c r="AI18" s="126">
        <f t="shared" si="49"/>
        <v>9.6215144247745465E-2</v>
      </c>
      <c r="AJ18" s="227">
        <f t="shared" si="49"/>
        <v>1.2183610600455173</v>
      </c>
      <c r="AK18" s="330">
        <f t="shared" si="49"/>
        <v>1.5108232856604198</v>
      </c>
      <c r="AL18" s="113">
        <f t="shared" si="49"/>
        <v>0.19981255769961509</v>
      </c>
      <c r="AM18" s="96" t="s">
        <v>44</v>
      </c>
      <c r="AN18" s="376">
        <f>SUM(AN3:AN17)</f>
        <v>12.4766640000003</v>
      </c>
      <c r="AO18" s="127">
        <f t="shared" ref="AO18:AU18" si="50">SUM(AO3:AO17)</f>
        <v>0.17500000000000038</v>
      </c>
      <c r="AP18" s="228">
        <f t="shared" si="50"/>
        <v>17.78904953144923</v>
      </c>
      <c r="AQ18" s="228">
        <f t="shared" si="50"/>
        <v>12.984326337417041</v>
      </c>
      <c r="AR18" s="321">
        <f t="shared" si="50"/>
        <v>9.9737764945477841E-2</v>
      </c>
      <c r="AS18" s="329">
        <f t="shared" si="50"/>
        <v>1.7642110856633819</v>
      </c>
      <c r="AT18" s="325">
        <f t="shared" si="50"/>
        <v>1.8382824145424204</v>
      </c>
      <c r="AU18" s="326">
        <f t="shared" si="50"/>
        <v>0.24425290200036251</v>
      </c>
    </row>
    <row r="19" spans="1:47" ht="15.75" thickTop="1">
      <c r="D19" s="219"/>
      <c r="E19" s="219"/>
      <c r="F19" s="219"/>
      <c r="G19" s="219"/>
      <c r="H19" s="219"/>
      <c r="I19" s="219"/>
      <c r="J19" s="219"/>
      <c r="K19" s="3"/>
    </row>
    <row r="21" spans="1:47">
      <c r="C21" s="3"/>
      <c r="D21" s="3"/>
      <c r="E21" s="3"/>
      <c r="F21" s="3"/>
      <c r="G21" s="3"/>
      <c r="H21" s="3"/>
      <c r="I21" s="3"/>
      <c r="J21" s="3"/>
    </row>
    <row r="22" spans="1:47">
      <c r="C22" s="3"/>
    </row>
  </sheetData>
  <scenarios current="1" show="1">
    <scenario name="Pienso tipo: Cebo (Fase 1) " locked="1" count="15" user="Autor" comment="Creado por Autor el 12/09/2016">
      <inputCells r="L3" val="12,3186328922422" numFmtId="164"/>
      <inputCells r="L4" val="35" numFmtId="164"/>
      <inputCells r="L5" val="26,2969781038822" numFmtId="164"/>
      <inputCells r="L6" val=""/>
      <inputCells r="L7" val=""/>
      <inputCells r="L8" val="20" numFmtId="164"/>
      <inputCells r="L9" val="1,73558477150275" numFmtId="164"/>
      <inputCells r="L10" val="0,376805120705782" numFmtId="164"/>
      <inputCells r="L11" val="0,112323502855579" numFmtId="164"/>
      <inputCells r="L12" val="1,32793644016338" numFmtId="164"/>
      <inputCells r="L13" val="0,632875423666161" numFmtId="164"/>
      <inputCells r="L14" val="1,298940166794" numFmtId="164"/>
      <inputCells r="L15" val="0,0746264454291703" numFmtId="164"/>
      <inputCells r="L16" val="0,525297132762198" numFmtId="164"/>
      <inputCells r="L17" val="0,3" numFmtId="164"/>
    </scenario>
    <scenario name="Pienso menos soja: Cebo (Fase 1)" locked="1" count="15" user="Autor" comment="Creado por Autor el 12/09/2016">
      <inputCells r="L3" val="57,6899517834544" numFmtId="164"/>
      <inputCells r="L4" val="0" numFmtId="164"/>
      <inputCells r="L5" val="0" numFmtId="164"/>
      <inputCells r="L6" val="6" numFmtId="164"/>
      <inputCells r="L7" val="0" numFmtId="164"/>
      <inputCells r="L8" val="10" numFmtId="164"/>
      <inputCells r="L9" val="2" numFmtId="164"/>
      <inputCells r="L10" val="0,755595541311429" numFmtId="164"/>
      <inputCells r="L11" val="8,97927131157463" numFmtId="164"/>
      <inputCells r="L12" val="3,32736842935501" numFmtId="164"/>
      <inputCells r="L13" val="0,433770584090922" numFmtId="164"/>
      <inputCells r="L14" val="1,73059894330223" numFmtId="164"/>
      <inputCells r="L15" val="0" numFmtId="164"/>
      <inputCells r="L16" val="8,78344340441041" numFmtId="164"/>
      <inputCells r="L17" val="0,3" numFmtId="164"/>
    </scenario>
    <scenario name="Pienso tipo: Cebo (Fase 2)" locked="1" count="15" user="Autor" comment="Creado por Autor el 12/09/2016">
      <inputCells r="U3" val="30" numFmtId="164"/>
      <inputCells r="U4" val="10" numFmtId="164"/>
      <inputCells r="U5" val="34,6350923315903" numFmtId="164"/>
      <inputCells r="U6" val=""/>
      <inputCells r="U7" val=""/>
      <inputCells r="U8" val="20,2293007030637" numFmtId="164"/>
      <inputCells r="U9" val="1,41630644047331" numFmtId="164"/>
      <inputCells r="U10" val="0,265101459029911" numFmtId="164"/>
      <inputCells r="U11" val="0,06497339322302" numFmtId="164"/>
      <inputCells r="U12" val="0,726637162971367" numFmtId="164"/>
      <inputCells r="U13" val="0,669417436582676" numFmtId="164"/>
      <inputCells r="U14" val="1,14128091622313" numFmtId="164"/>
      <inputCells r="U15" val="0,117615875030169" numFmtId="164"/>
      <inputCells r="U16" val="0,434274281619094" numFmtId="164"/>
      <inputCells r="U17" val="0,3" numFmtId="164"/>
    </scenario>
    <scenario name="Pienso menos soja: Cebo (fase 2)" locked="1" count="15" user="Autor" comment="Creado por Autor el 12/09/2016">
      <inputCells r="U3" val="7,17170792488536" numFmtId="164"/>
      <inputCells r="U4" val="10" numFmtId="164"/>
      <inputCells r="U5" val="57,866237410583" numFmtId="164"/>
      <inputCells r="U6" val="0" numFmtId="164"/>
      <inputCells r="U7" val="6" numFmtId="164"/>
      <inputCells r="U8" val="10,11465035" numFmtId="164"/>
      <inputCells r="U9" val="4" numFmtId="164"/>
      <inputCells r="U10" val="0,463515196909572" numFmtId="164"/>
      <inputCells r="U11" val="0,0974523221442728" numFmtId="164"/>
      <inputCells r="U12" val="1,56873733635571" numFmtId="164"/>
      <inputCells r="U13" val="0,644205869318978" numFmtId="164"/>
      <inputCells r="U14" val="1,18856778940541" numFmtId="164"/>
      <inputCells r="U15" val="0,0157511205182678" numFmtId="164"/>
      <inputCells r="U16" val="0,569174679941866" numFmtId="164"/>
      <inputCells r="U17" val="0,3" numFmtId="164"/>
    </scenario>
    <scenario name="Pienso tipo: Gestación" locked="1" count="15" user="Autor" comment="Creado por Autor el 12/09/2016">
      <inputCells r="AD3" val=""/>
      <inputCells r="AD4" val=""/>
      <inputCells r="AD5" val="83,4274768138955" numFmtId="164"/>
      <inputCells r="AD6" val=""/>
      <inputCells r="AD7" val="10,0777348802771" numFmtId="164"/>
      <inputCells r="AD8" val="3,24920809497131" numFmtId="164"/>
      <inputCells r="AD9" val=""/>
      <inputCells r="AD10" val="0,111617408206398" numFmtId="164"/>
      <inputCells r="AD11" val=""/>
      <inputCells r="AD12" val=""/>
      <inputCells r="AD13" val="0,859908890606977" numFmtId="164"/>
      <inputCells r="AD14" val="1,43091565576352" numFmtId="164"/>
      <inputCells r="AD15" val="0,101058983027083" numFmtId="164"/>
      <inputCells r="AD16" val="0,442079270291852" numFmtId="164"/>
      <inputCells r="AD17" val="0,3" numFmtId="164"/>
    </scenario>
    <scenario name="Pienso menos soja: Gestación" locked="1" count="15" user="Autor" comment="Creado por Autor el 12/09/2016">
      <inputCells r="AD3" val="0" numFmtId="164"/>
      <inputCells r="AD4" val="25,4414323118055" numFmtId="164"/>
      <inputCells r="AD5" val="54,8712953077159" numFmtId="164"/>
      <inputCells r="AD6" val="0" numFmtId="164"/>
      <inputCells r="AD7" val="14,8077696598739" numFmtId="164"/>
      <inputCells r="AD8" val="1,624604047" numFmtId="164"/>
      <inputCells r="AD9" val="0" numFmtId="164"/>
      <inputCells r="AD10" val="0,145005840490273" numFmtId="164"/>
      <inputCells r="AD11" val="0" numFmtId="164"/>
      <inputCells r="AD12" val="0" numFmtId="164"/>
      <inputCells r="AD13" val="0,854274362666851" numFmtId="164"/>
      <inputCells r="AD14" val="1,41670514077802" numFmtId="164"/>
      <inputCells r="AD15" val="0,10709457564311" numFmtId="164"/>
      <inputCells r="AD16" val="0,431818753262046" numFmtId="164"/>
      <inputCells r="AD17" val="0,3" numFmtId="164"/>
    </scenario>
    <scenario name="Pienso menos soja: Lactación" locked="1" count="15" user="Autor" comment="Creado por Autor el 12/09/2016">
      <inputCells r="AM3" val="0" numFmtId="164"/>
      <inputCells r="AM4" val="40" numFmtId="164"/>
      <inputCells r="AM5" val="32,3371268883597" numFmtId="164"/>
      <inputCells r="AM6" val="0" numFmtId="164"/>
      <inputCells r="AM7" val="12" numFmtId="164"/>
      <inputCells r="AM8" val="9,546746409" numFmtId="164"/>
      <inputCells r="AM9" val="1,07191554200909" numFmtId="164"/>
      <inputCells r="AM10" val="0,401759811968352" numFmtId="164"/>
      <inputCells r="AM11" val="0" numFmtId="164"/>
      <inputCells r="AM12" val="1,15142688230156" numFmtId="164"/>
      <inputCells r="AM13" val="1,08891094854701" numFmtId="164"/>
      <inputCells r="AM14" val="1,57108345592704" numFmtId="164"/>
      <inputCells r="AM15" val="0,215086751341371" numFmtId="164"/>
      <inputCells r="AM16" val="0,315943308844521" numFmtId="164"/>
      <inputCells r="AM17" val="0,3" numFmtId="164"/>
    </scenario>
    <scenario name="Pienso tipo: Lactacion" locked="1" count="15" user="Autor" comment="Creado por Autor el 12/09/2016">
      <inputCells r="AM3" val="3,47317366701532" numFmtId="164"/>
      <inputCells r="AM4" val="0" numFmtId="164"/>
      <inputCells r="AM5" val="73,2458739616567" numFmtId="164"/>
      <inputCells r="AM6" val="0" numFmtId="164"/>
      <inputCells r="AM7" val="0" numFmtId="164"/>
      <inputCells r="AM8" val="19,0934928170584" numFmtId="164"/>
      <inputCells r="AM9" val="0" numFmtId="164"/>
      <inputCells r="AM10" val="0,193604778061512" numFmtId="164"/>
      <inputCells r="AM11" val="0" numFmtId="164"/>
      <inputCells r="AM12" val="0,522254982803938" numFmtId="164"/>
      <inputCells r="AM13" val="1,13845644376899" numFmtId="164"/>
      <inputCells r="AM14" val="1,51924150762442" numFmtId="164"/>
      <inputCells r="AM15" val="0,269058324339404" numFmtId="164"/>
      <inputCells r="AM16" val="0,244843517626432" numFmtId="164"/>
      <inputCells r="AM17" val="0,3" numFmtId="164"/>
    </scenario>
    <scenario name="Pienso tipo: Cebo 1= Cebo2" locked="1" count="15" user="Autor" comment="Creado por Autor el 12/09/2016_x000a_Modificado por Autor el 12/09/2016">
      <inputCells r="U3" val="12,3186328922422" numFmtId="164"/>
      <inputCells r="U4" val="35" numFmtId="164"/>
      <inputCells r="U5" val="26,2969781038822" numFmtId="164"/>
      <inputCells r="U6" val=""/>
      <inputCells r="U7" val=""/>
      <inputCells r="U8" val="20" numFmtId="164"/>
      <inputCells r="U9" val="1,73558477150275" numFmtId="164"/>
      <inputCells r="U10" val="0,376805120705782" numFmtId="164"/>
      <inputCells r="U11" val="0,112323502855579" numFmtId="164"/>
      <inputCells r="U12" val="1,32793644016338" numFmtId="164"/>
      <inputCells r="U13" val="0,632875423666161" numFmtId="164"/>
      <inputCells r="U14" val="1,298940166794" numFmtId="164"/>
      <inputCells r="U15" val="0,0746264454291703" numFmtId="164"/>
      <inputCells r="U16" val="0,525297132762198" numFmtId="164"/>
      <inputCells r="U17" val="0,3" numFmtId="164"/>
    </scenario>
    <scenario name="Pienso tipo: Gestación=Lactación" locked="1" count="15" user="Autor" comment="Creado por Autor el 12/09/2016_x000a_Modificado por Autor el 12/09/2016">
      <inputCells r="AD3" val="3,47317366701532" numFmtId="164"/>
      <inputCells r="AD4" val="0" numFmtId="164"/>
      <inputCells r="AD5" val="73,2458739616567" numFmtId="164"/>
      <inputCells r="AD6" val="0" numFmtId="164"/>
      <inputCells r="AD7" val="0" numFmtId="164"/>
      <inputCells r="AD8" val="19,0934928170584" numFmtId="164"/>
      <inputCells r="AD9" val="0" numFmtId="164"/>
      <inputCells r="AD10" val="0,193604778061512" numFmtId="164"/>
      <inputCells r="AD11" val="0" numFmtId="164"/>
      <inputCells r="AD12" val="0,522254982803938" numFmtId="164"/>
      <inputCells r="AD13" val="1,13845644376899" numFmtId="164"/>
      <inputCells r="AD14" val="1,51924150762442" numFmtId="164"/>
      <inputCells r="AD15" val="0,269058324339404" numFmtId="164"/>
      <inputCells r="AD16" val="0,244843517626432" numFmtId="164"/>
      <inputCells r="AD17" val="0,3" numFmtId="164"/>
    </scenario>
  </scenarios>
  <mergeCells count="15">
    <mergeCell ref="F1:F2"/>
    <mergeCell ref="U1:AC1"/>
    <mergeCell ref="AD1:AL1"/>
    <mergeCell ref="AM1:AU1"/>
    <mergeCell ref="A1:A2"/>
    <mergeCell ref="B1:B2"/>
    <mergeCell ref="C1:C2"/>
    <mergeCell ref="K1:K2"/>
    <mergeCell ref="L1:T1"/>
    <mergeCell ref="H1:H2"/>
    <mergeCell ref="D1:D2"/>
    <mergeCell ref="E1:E2"/>
    <mergeCell ref="I1:I2"/>
    <mergeCell ref="J1:J2"/>
    <mergeCell ref="G1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0"/>
  <sheetViews>
    <sheetView zoomScaleNormal="100" workbookViewId="0">
      <selection activeCell="P22" sqref="P22"/>
    </sheetView>
  </sheetViews>
  <sheetFormatPr baseColWidth="10" defaultRowHeight="15"/>
  <cols>
    <col min="1" max="1" width="22" customWidth="1"/>
    <col min="2" max="2" width="10.5703125" customWidth="1"/>
    <col min="3" max="3" width="13.140625" customWidth="1"/>
    <col min="4" max="4" width="12.85546875" customWidth="1"/>
    <col min="5" max="5" width="7.7109375" customWidth="1"/>
    <col min="6" max="6" width="7.42578125" customWidth="1"/>
    <col min="7" max="8" width="8.42578125" customWidth="1"/>
    <col min="9" max="9" width="8.140625" customWidth="1"/>
    <col min="10" max="10" width="11.7109375" customWidth="1"/>
    <col min="11" max="11" width="7.7109375" customWidth="1"/>
    <col min="12" max="12" width="7.42578125" customWidth="1"/>
    <col min="13" max="14" width="8.42578125" customWidth="1"/>
    <col min="15" max="15" width="8.140625" customWidth="1"/>
    <col min="16" max="16" width="11.7109375" customWidth="1"/>
  </cols>
  <sheetData>
    <row r="1" spans="1:16" ht="12" customHeight="1" thickTop="1">
      <c r="A1" s="402" t="s">
        <v>47</v>
      </c>
      <c r="B1" s="396" t="s">
        <v>110</v>
      </c>
      <c r="C1" s="396" t="s">
        <v>119</v>
      </c>
      <c r="D1" s="396" t="s">
        <v>120</v>
      </c>
      <c r="E1" s="415" t="s">
        <v>151</v>
      </c>
      <c r="F1" s="416"/>
      <c r="G1" s="416"/>
      <c r="H1" s="416"/>
      <c r="I1" s="416"/>
      <c r="J1" s="408" t="s">
        <v>148</v>
      </c>
      <c r="K1" s="411" t="s">
        <v>150</v>
      </c>
      <c r="L1" s="412"/>
      <c r="M1" s="412"/>
      <c r="N1" s="412"/>
      <c r="O1" s="412"/>
      <c r="P1" s="396" t="s">
        <v>149</v>
      </c>
    </row>
    <row r="2" spans="1:16" ht="15.75" customHeight="1">
      <c r="A2" s="419"/>
      <c r="B2" s="407"/>
      <c r="C2" s="407"/>
      <c r="D2" s="407"/>
      <c r="E2" s="417"/>
      <c r="F2" s="418"/>
      <c r="G2" s="418"/>
      <c r="H2" s="418"/>
      <c r="I2" s="418"/>
      <c r="J2" s="409"/>
      <c r="K2" s="413"/>
      <c r="L2" s="414"/>
      <c r="M2" s="414"/>
      <c r="N2" s="414"/>
      <c r="O2" s="414"/>
      <c r="P2" s="407"/>
    </row>
    <row r="3" spans="1:16" ht="15.75" customHeight="1" thickBot="1">
      <c r="A3" s="420"/>
      <c r="B3" s="397"/>
      <c r="C3" s="397"/>
      <c r="D3" s="397"/>
      <c r="E3" s="195" t="s">
        <v>115</v>
      </c>
      <c r="F3" s="193" t="s">
        <v>116</v>
      </c>
      <c r="G3" s="193" t="s">
        <v>117</v>
      </c>
      <c r="H3" s="193" t="s">
        <v>114</v>
      </c>
      <c r="I3" s="194" t="s">
        <v>113</v>
      </c>
      <c r="J3" s="410"/>
      <c r="K3" s="200" t="s">
        <v>115</v>
      </c>
      <c r="L3" s="198" t="s">
        <v>116</v>
      </c>
      <c r="M3" s="198" t="s">
        <v>117</v>
      </c>
      <c r="N3" s="198" t="s">
        <v>114</v>
      </c>
      <c r="O3" s="199" t="s">
        <v>113</v>
      </c>
      <c r="P3" s="397"/>
    </row>
    <row r="4" spans="1:16" ht="15.75" thickTop="1">
      <c r="A4" s="176" t="s">
        <v>38</v>
      </c>
      <c r="B4" s="178">
        <v>0.13800000000000001</v>
      </c>
      <c r="C4" s="35">
        <f>'Necesidades energéticas'!$R$2*Piensos!L3/100+'Necesidades energéticas'!$R$3*Piensos!U3/100+'Necesidades energéticas'!$R$4*Piensos!U3/100+'Necesidades energéticas'!$R$5*Piensos!AD3/100+'Necesidades energéticas'!$R$6*Piensos!AM3/100+'Necesidades energéticas'!$R$7*Piensos!AD3/100+'Necesidades energéticas'!$R$8*Piensos!AD3/100+'Necesidades energéticas'!$R$9*Piensos!AM3/100+'Necesidades energéticas'!$R$10*Piensos!AD3/100+'Necesidades energéticas'!$R$11*Piensos!U3/100+'Necesidades energéticas'!$R$12*Piensos!AD3/100</f>
        <v>881.4271319475007</v>
      </c>
      <c r="D4" s="134">
        <f>C4*(1-B4)</f>
        <v>759.79018773874554</v>
      </c>
      <c r="E4" s="183">
        <v>0.33029159016393445</v>
      </c>
      <c r="F4" s="185">
        <v>1.2578905245901641E-2</v>
      </c>
      <c r="G4" s="185">
        <v>0.38317911475409838</v>
      </c>
      <c r="H4" s="185">
        <v>7.6354813114754103E-4</v>
      </c>
      <c r="I4" s="182">
        <f t="shared" ref="I4:I10" si="0">SUM(E4:H4)</f>
        <v>0.72681315829508197</v>
      </c>
      <c r="J4" s="192">
        <v>6.6032412150433943</v>
      </c>
      <c r="K4" s="206">
        <f>E4*$D$4</f>
        <v>250.95230929918455</v>
      </c>
      <c r="L4" s="207">
        <f>F4*$D$4</f>
        <v>9.5573287783314989</v>
      </c>
      <c r="M4" s="207">
        <f>G4*$D$4</f>
        <v>291.13573153658274</v>
      </c>
      <c r="N4" s="207">
        <f>H4*$D$4</f>
        <v>0.58013637791215855</v>
      </c>
      <c r="O4" s="204">
        <f>I4*$D$4</f>
        <v>552.22550599201088</v>
      </c>
      <c r="P4" s="265">
        <f>J4*$D$4/1000</f>
        <v>5.0170778824620426</v>
      </c>
    </row>
    <row r="5" spans="1:16">
      <c r="A5" s="176" t="s">
        <v>58</v>
      </c>
      <c r="B5" s="178">
        <v>0.114</v>
      </c>
      <c r="C5" s="35">
        <f>'Necesidades energéticas'!$R$2*Piensos!L4/100+'Necesidades energéticas'!$R$3*Piensos!U4/100+'Necesidades energéticas'!$R$4*Piensos!U4/100+'Necesidades energéticas'!$R$5*Piensos!AD4/100+'Necesidades energéticas'!$R$6*Piensos!AM4/100+'Necesidades energéticas'!$R$7*Piensos!AD4/100+'Necesidades energéticas'!$R$8*Piensos!AD4/100+'Necesidades energéticas'!$R$9*Piensos!AM4/100+'Necesidades energéticas'!$R$10*Piensos!AD4/100+'Necesidades energéticas'!$R$11*Piensos!U4/100+'Necesidades energéticas'!$R$12*Piensos!AD4/100</f>
        <v>257.02936800907042</v>
      </c>
      <c r="D5" s="134">
        <f t="shared" ref="D5:D18" si="1">C5*(1-B5)</f>
        <v>227.7280200560364</v>
      </c>
      <c r="E5" s="183">
        <v>0.158</v>
      </c>
      <c r="F5" s="185">
        <v>5.1450900000000006E-3</v>
      </c>
      <c r="G5" s="185">
        <v>0.26014751764705885</v>
      </c>
      <c r="H5" s="185">
        <v>5.8455549411764703E-6</v>
      </c>
      <c r="I5" s="182">
        <f t="shared" si="0"/>
        <v>0.42329845320199999</v>
      </c>
      <c r="J5" s="192">
        <v>4.7235144498269888</v>
      </c>
      <c r="K5" s="201">
        <f>E5*$D$5</f>
        <v>35.98102716885375</v>
      </c>
      <c r="L5" s="208">
        <f>F5*$D$5</f>
        <v>1.1716811587101124</v>
      </c>
      <c r="M5" s="208">
        <f>G5*$D$5</f>
        <v>59.242879116257498</v>
      </c>
      <c r="N5" s="208">
        <f>H5*$D$5</f>
        <v>1.3311966528828979E-3</v>
      </c>
      <c r="O5" s="204">
        <f>I5*$D$5</f>
        <v>96.39691864047424</v>
      </c>
      <c r="P5" s="266">
        <f>J5*$D$5/1000</f>
        <v>1.0756765933651782</v>
      </c>
    </row>
    <row r="6" spans="1:16">
      <c r="A6" s="176" t="s">
        <v>39</v>
      </c>
      <c r="B6" s="178">
        <v>9.8000000000000004E-2</v>
      </c>
      <c r="C6" s="35">
        <f>'Necesidades energéticas'!$R$2*Piensos!L5/100+'Necesidades energéticas'!$R$3*Piensos!U5/100+'Necesidades energéticas'!$R$4*Piensos!U5/100+'Necesidades energéticas'!$R$5*Piensos!AD5/100+'Necesidades energéticas'!$R$6*Piensos!AM5/100+'Necesidades energéticas'!$R$7*Piensos!AD5/100+'Necesidades energéticas'!$R$8*Piensos!AD5/100+'Necesidades energéticas'!$R$9*Piensos!AM5/100+'Necesidades energéticas'!$R$10*Piensos!AD5/100+'Necesidades energéticas'!$R$11*Piensos!U5/100+'Necesidades energéticas'!$R$12*Piensos!AD5/100</f>
        <v>1799.1563730378548</v>
      </c>
      <c r="D6" s="134">
        <f t="shared" si="1"/>
        <v>1622.839048480145</v>
      </c>
      <c r="E6" s="183">
        <v>0.34523535294117652</v>
      </c>
      <c r="F6" s="185">
        <v>1.3794098823529412E-2</v>
      </c>
      <c r="G6" s="185">
        <v>0.73028709411764703</v>
      </c>
      <c r="H6" s="185">
        <v>1.2238355294117646E-3</v>
      </c>
      <c r="I6" s="182">
        <f t="shared" si="0"/>
        <v>1.0905403814117647</v>
      </c>
      <c r="J6" s="192">
        <v>0.91448503806228354</v>
      </c>
      <c r="K6" s="201">
        <f>E6*$D$6</f>
        <v>560.26141166876596</v>
      </c>
      <c r="L6" s="208">
        <f>F6*$D$6</f>
        <v>22.385602209417559</v>
      </c>
      <c r="M6" s="208">
        <f>G6*$D$6</f>
        <v>1185.1384129352125</v>
      </c>
      <c r="N6" s="208">
        <f>H6*$D$6</f>
        <v>1.9860880860467827</v>
      </c>
      <c r="O6" s="204">
        <f>I6*$D$6</f>
        <v>1769.7715148994425</v>
      </c>
      <c r="P6" s="266">
        <f>J6*$D$6/1000</f>
        <v>1.4840620290183253</v>
      </c>
    </row>
    <row r="7" spans="1:16">
      <c r="A7" s="176" t="s">
        <v>40</v>
      </c>
      <c r="B7" s="178">
        <v>0.12</v>
      </c>
      <c r="C7" s="35">
        <f>'Necesidades energéticas'!$R$2*Piensos!L6/100+'Necesidades energéticas'!$R$3*Piensos!U6/100+'Necesidades energéticas'!$R$4*Piensos!U6/100+'Necesidades energéticas'!$R$5*Piensos!AD6/100+'Necesidades energéticas'!$R$6*Piensos!AM6/100+'Necesidades energéticas'!$R$7*Piensos!AD6/100+'Necesidades energéticas'!$R$8*Piensos!AD6/100+'Necesidades energéticas'!$R$9*Piensos!AM6/100+'Necesidades energéticas'!$R$10*Piensos!AD6/100+'Necesidades energéticas'!$R$11*Piensos!U6/100+'Necesidades energéticas'!$R$12*Piensos!AD6/100</f>
        <v>72.023320267119558</v>
      </c>
      <c r="D7" s="134">
        <f t="shared" si="1"/>
        <v>63.38052183506521</v>
      </c>
      <c r="E7" s="183">
        <v>0.41099999999999998</v>
      </c>
      <c r="F7" s="185">
        <v>1.7981937777777776E-2</v>
      </c>
      <c r="G7" s="185">
        <v>0.11766976666666666</v>
      </c>
      <c r="H7" s="185">
        <v>2.2567952222222223E-4</v>
      </c>
      <c r="I7" s="182">
        <f t="shared" si="0"/>
        <v>0.54687738396666663</v>
      </c>
      <c r="J7" s="192">
        <v>2.0846846405228754</v>
      </c>
      <c r="K7" s="201">
        <f t="shared" ref="K7:P7" si="2">E7*$D$7</f>
        <v>26.049394474211798</v>
      </c>
      <c r="L7" s="208">
        <f t="shared" si="2"/>
        <v>1.1397045999612283</v>
      </c>
      <c r="M7" s="208">
        <f t="shared" si="2"/>
        <v>7.4579712155436946</v>
      </c>
      <c r="N7" s="208">
        <f t="shared" si="2"/>
        <v>1.430368588593264E-2</v>
      </c>
      <c r="O7" s="204">
        <f t="shared" si="2"/>
        <v>34.661373975602658</v>
      </c>
      <c r="P7" s="266">
        <f t="shared" si="2"/>
        <v>132.12840037788516</v>
      </c>
    </row>
    <row r="8" spans="1:16">
      <c r="A8" s="176" t="s">
        <v>59</v>
      </c>
      <c r="B8" s="178">
        <v>0.10299999999999999</v>
      </c>
      <c r="C8" s="35">
        <f>'Necesidades energéticas'!$R$2*Piensos!L7/100+'Necesidades energéticas'!$R$3*Piensos!U7/100+'Necesidades energéticas'!$R$4*Piensos!U7/100+'Necesidades energéticas'!$R$5*Piensos!AD7/100+'Necesidades energéticas'!$R$6*Piensos!AM7/100+'Necesidades energéticas'!$R$7*Piensos!AD7/100+'Necesidades energéticas'!$R$8*Piensos!AD7/100+'Necesidades energéticas'!$R$9*Piensos!AM7/100+'Necesidades energéticas'!$R$10*Piensos!AD7/100+'Necesidades energéticas'!$R$11*Piensos!U7/100+'Necesidades energéticas'!$R$12*Piensos!AD7/100</f>
        <v>180.19310830201081</v>
      </c>
      <c r="D8" s="134">
        <f t="shared" si="1"/>
        <v>161.63321814690372</v>
      </c>
      <c r="E8" s="183">
        <v>0.83099999999999996</v>
      </c>
      <c r="F8" s="185">
        <v>8.2671642696629216E-2</v>
      </c>
      <c r="G8" s="185">
        <v>0.33096701123595501</v>
      </c>
      <c r="H8" s="185">
        <v>8.7366688764044947E-4</v>
      </c>
      <c r="I8" s="182">
        <f t="shared" si="0"/>
        <v>1.2455123208202246</v>
      </c>
      <c r="J8" s="192">
        <v>5.8239318043621946</v>
      </c>
      <c r="K8" s="201">
        <f>E8*$D$8</f>
        <v>134.31720428007699</v>
      </c>
      <c r="L8" s="208">
        <f>F8*$D$8</f>
        <v>13.36248365854715</v>
      </c>
      <c r="M8" s="208">
        <f>G8*$D$8</f>
        <v>53.495263126529849</v>
      </c>
      <c r="N8" s="208">
        <f>H8*$D$8</f>
        <v>0.14121359063771519</v>
      </c>
      <c r="O8" s="204">
        <f>I8*$D$8</f>
        <v>201.31616465579168</v>
      </c>
      <c r="P8" s="266">
        <f>J8*$D$8/1000</f>
        <v>0.9413408398071651</v>
      </c>
    </row>
    <row r="9" spans="1:16">
      <c r="A9" s="176" t="s">
        <v>60</v>
      </c>
      <c r="B9" s="178">
        <v>0.12</v>
      </c>
      <c r="C9" s="35">
        <f>'Necesidades energéticas'!$R$2*Piensos!L8/100+'Necesidades energéticas'!$R$3*Piensos!U8/100+'Necesidades energéticas'!$R$4*Piensos!U8/100+'Necesidades energéticas'!$R$5*Piensos!AD8/100+'Necesidades energéticas'!$R$6*Piensos!AM8/100+'Necesidades energéticas'!$R$7*Piensos!AD8/100+'Necesidades energéticas'!$R$8*Piensos!AD8/100+'Necesidades energéticas'!$R$9*Piensos!AM8/100+'Necesidades energéticas'!$R$10*Piensos!AD8/100+'Necesidades energéticas'!$R$11*Piensos!U8/100+'Necesidades energéticas'!$R$12*Piensos!AD8/100</f>
        <v>413.62053669859546</v>
      </c>
      <c r="D9" s="134">
        <f t="shared" si="1"/>
        <v>363.98607229476403</v>
      </c>
      <c r="E9" s="183">
        <v>4.3470000000000004</v>
      </c>
      <c r="F9" s="185">
        <v>2.0269212499999998E-2</v>
      </c>
      <c r="G9" s="185">
        <v>0.23651136363636366</v>
      </c>
      <c r="H9" s="185">
        <v>1.4698302272727273E-4</v>
      </c>
      <c r="I9" s="182">
        <f t="shared" si="0"/>
        <v>4.6039275591590911</v>
      </c>
      <c r="J9" s="192">
        <v>4.9112140374331554</v>
      </c>
      <c r="K9" s="201">
        <f>E9*$D$9</f>
        <v>1582.2474562653395</v>
      </c>
      <c r="L9" s="208">
        <f>F9*$D$9</f>
        <v>7.3777110463829336</v>
      </c>
      <c r="M9" s="208">
        <f>G9*$D$9</f>
        <v>86.086842303078683</v>
      </c>
      <c r="N9" s="208">
        <f>H9*$D$9</f>
        <v>5.3499773136512038E-2</v>
      </c>
      <c r="O9" s="204">
        <f>I9*$D$9</f>
        <v>1675.7655093879375</v>
      </c>
      <c r="P9" s="266">
        <f>J9*$D$9/1000</f>
        <v>1.7876135076842046</v>
      </c>
    </row>
    <row r="10" spans="1:16">
      <c r="A10" s="176" t="s">
        <v>61</v>
      </c>
      <c r="B10" s="178">
        <v>0</v>
      </c>
      <c r="C10" s="35">
        <f>'Necesidades energéticas'!$R$2*Piensos!L9/100+'Necesidades energéticas'!$R$3*Piensos!U9/100+'Necesidades energéticas'!$R$4*Piensos!U9/100+'Necesidades energéticas'!$R$5*Piensos!AD9/100+'Necesidades energéticas'!$R$6*Piensos!AM9/100+'Necesidades energéticas'!$R$7*Piensos!AD9/100+'Necesidades energéticas'!$R$8*Piensos!AD9/100+'Necesidades energéticas'!$R$9*Piensos!AM9/100+'Necesidades energéticas'!$R$10*Piensos!AD9/100+'Necesidades energéticas'!$R$11*Piensos!U9/100+'Necesidades energéticas'!$R$12*Piensos!AD9/100</f>
        <v>126.81952062600136</v>
      </c>
      <c r="D10" s="134">
        <f t="shared" si="1"/>
        <v>126.81952062600136</v>
      </c>
      <c r="E10" s="183">
        <v>0.62363517000000002</v>
      </c>
      <c r="F10" s="185">
        <v>3.7743402000000002E-2</v>
      </c>
      <c r="G10" s="185">
        <v>1.4928845E-3</v>
      </c>
      <c r="H10" s="185">
        <v>9.6896869000000002E-4</v>
      </c>
      <c r="I10" s="182">
        <f t="shared" si="0"/>
        <v>0.66384042518999997</v>
      </c>
      <c r="J10" s="192"/>
      <c r="K10" s="201">
        <f>E10*$D$10</f>
        <v>79.089113304914875</v>
      </c>
      <c r="L10" s="208">
        <f>F10*$D$10</f>
        <v>4.7866001484344611</v>
      </c>
      <c r="M10" s="208">
        <f>G10*$D$10</f>
        <v>0.18932689663998775</v>
      </c>
      <c r="N10" s="208">
        <f>H10*$D$10</f>
        <v>0.12288414476740453</v>
      </c>
      <c r="O10" s="204">
        <f>I10*$D$10</f>
        <v>84.187924494756714</v>
      </c>
      <c r="P10" s="266"/>
    </row>
    <row r="11" spans="1:16">
      <c r="A11" s="176" t="s">
        <v>62</v>
      </c>
      <c r="B11" s="178">
        <v>1.4999999999999999E-2</v>
      </c>
      <c r="C11" s="35">
        <f>'Necesidades energéticas'!$R$2*Piensos!L10/100+'Necesidades energéticas'!$R$3*Piensos!U10/100+'Necesidades energéticas'!$R$4*Piensos!U10/100+'Necesidades energéticas'!$R$5*Piensos!AD10/100+'Necesidades energéticas'!$R$6*Piensos!AM10/100+'Necesidades energéticas'!$R$7*Piensos!AD10/100+'Necesidades energéticas'!$R$8*Piensos!AD10/100+'Necesidades energéticas'!$R$9*Piensos!AM10/100+'Necesidades energéticas'!$R$10*Piensos!AD10/100+'Necesidades energéticas'!$R$11*Piensos!U10/100+'Necesidades energéticas'!$R$12*Piensos!AD10/100</f>
        <v>21.527314118114855</v>
      </c>
      <c r="D11" s="134">
        <f t="shared" si="1"/>
        <v>21.204404406343134</v>
      </c>
      <c r="E11" s="183"/>
      <c r="F11" s="185"/>
      <c r="G11" s="185"/>
      <c r="H11" s="185"/>
      <c r="I11" s="182">
        <v>4.29</v>
      </c>
      <c r="J11" s="192"/>
      <c r="K11" s="201"/>
      <c r="L11" s="208"/>
      <c r="M11" s="208"/>
      <c r="N11" s="208"/>
      <c r="O11" s="204">
        <f>I11*$D$11</f>
        <v>90.966894903212051</v>
      </c>
      <c r="P11" s="74"/>
    </row>
    <row r="12" spans="1:16">
      <c r="A12" s="176" t="s">
        <v>63</v>
      </c>
      <c r="B12" s="178">
        <v>4.0000000000000001E-3</v>
      </c>
      <c r="C12" s="35">
        <f>'Necesidades energéticas'!$R$2*Piensos!L11/100+'Necesidades energéticas'!$R$3*Piensos!U11/100+'Necesidades energéticas'!$R$4*Piensos!U11/100+'Necesidades energéticas'!$R$5*Piensos!AD11/100+'Necesidades energéticas'!$R$6*Piensos!AM11/100+'Necesidades energéticas'!$R$7*Piensos!AD11/100+'Necesidades energéticas'!$R$8*Piensos!AD11/100+'Necesidades energéticas'!$R$9*Piensos!AM11/100+'Necesidades energéticas'!$R$10*Piensos!AD11/100+'Necesidades energéticas'!$R$11*Piensos!U11/100+'Necesidades energéticas'!$R$12*Piensos!AD11/100</f>
        <v>110.29096645032558</v>
      </c>
      <c r="D12" s="134">
        <f t="shared" si="1"/>
        <v>109.84980258452428</v>
      </c>
      <c r="E12" s="184"/>
      <c r="F12" s="186"/>
      <c r="G12" s="186"/>
      <c r="H12" s="186"/>
      <c r="I12" s="182">
        <v>2.96</v>
      </c>
      <c r="J12" s="192"/>
      <c r="K12" s="201"/>
      <c r="L12" s="208"/>
      <c r="M12" s="208"/>
      <c r="N12" s="208"/>
      <c r="O12" s="204">
        <f>I12*$D$12</f>
        <v>325.15541565019186</v>
      </c>
      <c r="P12" s="74"/>
    </row>
    <row r="13" spans="1:16">
      <c r="A13" s="176" t="s">
        <v>64</v>
      </c>
      <c r="B13" s="178">
        <v>7.0000000000000001E-3</v>
      </c>
      <c r="C13" s="35">
        <f>'Necesidades energéticas'!$R$2*Piensos!L12/100+'Necesidades energéticas'!$R$3*Piensos!U12/100+'Necesidades energéticas'!$R$4*Piensos!U12/100+'Necesidades energéticas'!$R$5*Piensos!AD12/100+'Necesidades energéticas'!$R$6*Piensos!AM12/100+'Necesidades energéticas'!$R$7*Piensos!AD12/100+'Necesidades energéticas'!$R$8*Piensos!AD12/100+'Necesidades energéticas'!$R$9*Piensos!AM12/100+'Necesidades energéticas'!$R$10*Piensos!AD12/100+'Necesidades energéticas'!$R$11*Piensos!U12/100+'Necesidades energéticas'!$R$12*Piensos!AD12/100</f>
        <v>80.952629919388698</v>
      </c>
      <c r="D13" s="134">
        <f t="shared" si="1"/>
        <v>80.385961509952978</v>
      </c>
      <c r="E13" s="184"/>
      <c r="F13" s="186"/>
      <c r="G13" s="186"/>
      <c r="H13" s="186"/>
      <c r="I13" s="182">
        <v>4.29</v>
      </c>
      <c r="J13" s="192"/>
      <c r="K13" s="201"/>
      <c r="L13" s="208"/>
      <c r="M13" s="208"/>
      <c r="N13" s="208"/>
      <c r="O13" s="204">
        <f>I13*$D$13</f>
        <v>344.85577487769825</v>
      </c>
      <c r="P13" s="74"/>
    </row>
    <row r="14" spans="1:16">
      <c r="A14" s="176" t="s">
        <v>41</v>
      </c>
      <c r="B14" s="178">
        <v>7.0000000000000001E-3</v>
      </c>
      <c r="C14" s="35">
        <f>'Necesidades energéticas'!$R$2*Piensos!L13/100+'Necesidades energéticas'!$R$3*Piensos!U13/100+'Necesidades energéticas'!$R$4*Piensos!U13/100+'Necesidades energéticas'!$R$5*Piensos!AD13/100+'Necesidades energéticas'!$R$6*Piensos!AM13/100+'Necesidades energéticas'!$R$7*Piensos!AD13/100+'Necesidades energéticas'!$R$8*Piensos!AD13/100+'Necesidades energéticas'!$R$9*Piensos!AM13/100+'Necesidades energéticas'!$R$10*Piensos!AD13/100+'Necesidades energéticas'!$R$11*Piensos!U13/100+'Necesidades energéticas'!$R$12*Piensos!AD13/100</f>
        <v>25.485723882999721</v>
      </c>
      <c r="D14" s="134">
        <f t="shared" si="1"/>
        <v>25.307323815818723</v>
      </c>
      <c r="E14" s="184"/>
      <c r="F14" s="186"/>
      <c r="G14" s="186"/>
      <c r="H14" s="186"/>
      <c r="I14" s="182">
        <v>0.436</v>
      </c>
      <c r="J14" s="192"/>
      <c r="K14" s="201"/>
      <c r="L14" s="208"/>
      <c r="M14" s="208"/>
      <c r="N14" s="208"/>
      <c r="O14" s="204">
        <f>I14*$D$14</f>
        <v>11.033993183696964</v>
      </c>
      <c r="P14" s="74"/>
    </row>
    <row r="15" spans="1:16">
      <c r="A15" s="176" t="s">
        <v>42</v>
      </c>
      <c r="B15" s="179"/>
      <c r="C15" s="35">
        <f>'Necesidades energéticas'!$R$2*Piensos!L14/100+'Necesidades energéticas'!$R$3*Piensos!U14/100+'Necesidades energéticas'!$R$4*Piensos!U14/100+'Necesidades energéticas'!$R$5*Piensos!AD14/100+'Necesidades energéticas'!$R$6*Piensos!AM14/100+'Necesidades energéticas'!$R$7*Piensos!AD14/100+'Necesidades energéticas'!$R$8*Piensos!AD14/100+'Necesidades energéticas'!$R$9*Piensos!AM14/100+'Necesidades energéticas'!$R$10*Piensos!AD14/100+'Necesidades energéticas'!$R$11*Piensos!U14/100+'Necesidades energéticas'!$R$12*Piensos!AD14/100</f>
        <v>57.019359746368387</v>
      </c>
      <c r="D15" s="134">
        <f t="shared" si="1"/>
        <v>57.019359746368387</v>
      </c>
      <c r="E15" s="184"/>
      <c r="F15" s="186"/>
      <c r="G15" s="186"/>
      <c r="H15" s="186"/>
      <c r="I15" s="182">
        <v>1.202</v>
      </c>
      <c r="J15" s="192"/>
      <c r="K15" s="201"/>
      <c r="L15" s="208"/>
      <c r="M15" s="208"/>
      <c r="N15" s="208"/>
      <c r="O15" s="204">
        <f>I15*$D$15</f>
        <v>68.537270415134799</v>
      </c>
      <c r="P15" s="74"/>
    </row>
    <row r="16" spans="1:16">
      <c r="A16" s="176" t="s">
        <v>65</v>
      </c>
      <c r="B16" s="179"/>
      <c r="C16" s="35">
        <f>'Necesidades energéticas'!$R$2*Piensos!L15/100+'Necesidades energéticas'!$R$3*Piensos!U15/100+'Necesidades energéticas'!$R$4*Piensos!U15/100+'Necesidades energéticas'!$R$5*Piensos!AD15/100+'Necesidades energéticas'!$R$6*Piensos!AM15/100+'Necesidades energéticas'!$R$7*Piensos!AD15/100+'Necesidades energéticas'!$R$8*Piensos!AD15/100+'Necesidades energéticas'!$R$9*Piensos!AM15/100+'Necesidades energéticas'!$R$10*Piensos!AD15/100+'Necesidades energéticas'!$R$11*Piensos!U15/100+'Necesidades energéticas'!$R$12*Piensos!AD15/100</f>
        <v>1.0208706459907932</v>
      </c>
      <c r="D16" s="134">
        <f t="shared" si="1"/>
        <v>1.0208706459907932</v>
      </c>
      <c r="E16" s="184"/>
      <c r="F16" s="186"/>
      <c r="G16" s="186"/>
      <c r="H16" s="186"/>
      <c r="I16" s="182">
        <v>0.216</v>
      </c>
      <c r="J16" s="192"/>
      <c r="K16" s="201"/>
      <c r="L16" s="208"/>
      <c r="M16" s="208"/>
      <c r="N16" s="208"/>
      <c r="O16" s="204">
        <f>I16*$D$16</f>
        <v>0.22050805953401134</v>
      </c>
      <c r="P16" s="74"/>
    </row>
    <row r="17" spans="1:17">
      <c r="A17" s="176" t="s">
        <v>66</v>
      </c>
      <c r="B17" s="179"/>
      <c r="C17" s="35">
        <f>'Necesidades energéticas'!$R$2*Piensos!L16/100+'Necesidades energéticas'!$R$3*Piensos!U16/100+'Necesidades energéticas'!$R$4*Piensos!U16/100+'Necesidades energéticas'!$R$5*Piensos!AD16/100+'Necesidades energéticas'!$R$6*Piensos!AM16/100+'Necesidades energéticas'!$R$7*Piensos!AD16/100+'Necesidades energéticas'!$R$8*Piensos!AD16/100+'Necesidades energéticas'!$R$9*Piensos!AM16/100+'Necesidades energéticas'!$R$10*Piensos!AD16/100+'Necesidades energéticas'!$R$11*Piensos!U16/100+'Necesidades energéticas'!$R$12*Piensos!AD16/100</f>
        <v>121.52792703015601</v>
      </c>
      <c r="D17" s="134">
        <f t="shared" si="1"/>
        <v>121.52792703015601</v>
      </c>
      <c r="E17" s="184"/>
      <c r="F17" s="186"/>
      <c r="G17" s="186"/>
      <c r="H17" s="186"/>
      <c r="I17" s="182">
        <v>0.436</v>
      </c>
      <c r="J17" s="192"/>
      <c r="K17" s="201"/>
      <c r="L17" s="208"/>
      <c r="M17" s="208"/>
      <c r="N17" s="208"/>
      <c r="O17" s="204">
        <f>I17*$D$17</f>
        <v>52.986176185148018</v>
      </c>
      <c r="P17" s="74"/>
    </row>
    <row r="18" spans="1:17" ht="15.75" thickBot="1">
      <c r="A18" s="176" t="s">
        <v>43</v>
      </c>
      <c r="B18" s="179"/>
      <c r="C18" s="35">
        <f>'Necesidades energéticas'!$R$2*Piensos!L17/100+'Necesidades energéticas'!$R$3*Piensos!U17/100+'Necesidades energéticas'!$R$4*Piensos!U17/100+'Necesidades energéticas'!$R$5*Piensos!AD17/100+'Necesidades energéticas'!$R$6*Piensos!AM17/100+'Necesidades energéticas'!$R$7*Piensos!AD17/100+'Necesidades energéticas'!$R$8*Piensos!AD17/100+'Necesidades energéticas'!$R$9*Piensos!AM17/100+'Necesidades energéticas'!$R$10*Piensos!AD17/100+'Necesidades energéticas'!$R$11*Piensos!U17/100+'Necesidades energéticas'!$R$12*Piensos!AD17/100</f>
        <v>12.481727635057982</v>
      </c>
      <c r="D18" s="134">
        <f t="shared" si="1"/>
        <v>12.481727635057982</v>
      </c>
      <c r="E18" s="183">
        <v>1.3642736</v>
      </c>
      <c r="F18" s="185">
        <v>6.9207108000000003E-2</v>
      </c>
      <c r="G18" s="185">
        <v>0.41616957999999998</v>
      </c>
      <c r="H18" s="187">
        <v>2.7400072000000001E-3</v>
      </c>
      <c r="I18" s="182">
        <f>SUM(E18:H18)</f>
        <v>1.8523902952</v>
      </c>
      <c r="J18" s="196">
        <v>0.46517388235294121</v>
      </c>
      <c r="K18" s="201">
        <f>E18*$D$18</f>
        <v>17.028491494900038</v>
      </c>
      <c r="L18" s="208">
        <f>F18*$D$18</f>
        <v>0.86382427246604243</v>
      </c>
      <c r="M18" s="208">
        <f>G18*$D$18</f>
        <v>5.1945153475564734</v>
      </c>
      <c r="N18" s="210">
        <f>H18*$D$18</f>
        <v>3.4200023588497844E-2</v>
      </c>
      <c r="O18" s="211">
        <f>I18*$D$18</f>
        <v>23.121031138511054</v>
      </c>
      <c r="P18" s="267">
        <f>J18*$D$18/1000</f>
        <v>5.806173702471917E-3</v>
      </c>
    </row>
    <row r="19" spans="1:17" ht="16.5" thickTop="1" thickBot="1">
      <c r="A19" s="177" t="s">
        <v>77</v>
      </c>
      <c r="B19" s="180"/>
      <c r="C19" s="145">
        <f>SUM(C4:C18)</f>
        <v>4160.5758783165547</v>
      </c>
      <c r="D19" s="181">
        <f>SUM(D4:D18)</f>
        <v>3754.9739665518746</v>
      </c>
      <c r="E19" s="188" t="s">
        <v>118</v>
      </c>
      <c r="F19" s="190" t="s">
        <v>118</v>
      </c>
      <c r="G19" s="191" t="s">
        <v>118</v>
      </c>
      <c r="H19" s="190" t="s">
        <v>118</v>
      </c>
      <c r="I19" s="189" t="s">
        <v>118</v>
      </c>
      <c r="J19" s="197" t="s">
        <v>118</v>
      </c>
      <c r="K19" s="202">
        <f t="shared" ref="K19:P19" si="3">SUM(K4:K18)</f>
        <v>2685.9264079562477</v>
      </c>
      <c r="L19" s="209">
        <f t="shared" si="3"/>
        <v>60.644935872250983</v>
      </c>
      <c r="M19" s="209">
        <f t="shared" si="3"/>
        <v>1687.9409424774014</v>
      </c>
      <c r="N19" s="205">
        <f t="shared" si="3"/>
        <v>2.9336568786278869</v>
      </c>
      <c r="O19" s="203">
        <f t="shared" si="3"/>
        <v>5331.2019764591432</v>
      </c>
      <c r="P19" s="268">
        <f t="shared" si="3"/>
        <v>142.43997740392453</v>
      </c>
      <c r="Q19" s="3"/>
    </row>
    <row r="20" spans="1:17" ht="15.75" thickTop="1"/>
  </sheetData>
  <mergeCells count="8">
    <mergeCell ref="J1:J3"/>
    <mergeCell ref="K1:O2"/>
    <mergeCell ref="P1:P3"/>
    <mergeCell ref="E1:I2"/>
    <mergeCell ref="A1:A3"/>
    <mergeCell ref="B1:B3"/>
    <mergeCell ref="C1:C3"/>
    <mergeCell ref="D1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1"/>
  <sheetViews>
    <sheetView workbookViewId="0">
      <selection activeCell="O27" sqref="O27"/>
    </sheetView>
  </sheetViews>
  <sheetFormatPr baseColWidth="10" defaultRowHeight="15"/>
  <cols>
    <col min="1" max="1" width="7.42578125" customWidth="1"/>
    <col min="2" max="2" width="42.140625" customWidth="1"/>
    <col min="3" max="3" width="11.7109375" customWidth="1"/>
    <col min="4" max="4" width="11" customWidth="1"/>
    <col min="5" max="5" width="11.28515625" customWidth="1"/>
    <col min="6" max="6" width="10.85546875" customWidth="1"/>
    <col min="7" max="7" width="11.28515625" customWidth="1"/>
    <col min="8" max="8" width="13" customWidth="1"/>
    <col min="9" max="9" width="14" customWidth="1"/>
    <col min="10" max="10" width="13.7109375" customWidth="1"/>
    <col min="11" max="11" width="13.85546875" customWidth="1"/>
    <col min="12" max="12" width="12.42578125" customWidth="1"/>
    <col min="13" max="13" width="14.140625" customWidth="1"/>
    <col min="14" max="14" width="10.28515625" customWidth="1"/>
    <col min="15" max="15" width="9.140625" customWidth="1"/>
    <col min="16" max="16" width="15.5703125" customWidth="1"/>
    <col min="17" max="17" width="10.140625" customWidth="1"/>
    <col min="18" max="19" width="11.140625" customWidth="1"/>
    <col min="20" max="20" width="14.42578125" customWidth="1"/>
  </cols>
  <sheetData>
    <row r="1" spans="1:20" s="163" customFormat="1" ht="33.75" customHeight="1" thickTop="1" thickBot="1">
      <c r="A1" s="161" t="s">
        <v>35</v>
      </c>
      <c r="B1" s="161" t="s">
        <v>13</v>
      </c>
      <c r="C1" s="162" t="s">
        <v>87</v>
      </c>
      <c r="D1" s="162" t="s">
        <v>86</v>
      </c>
      <c r="E1" s="162" t="s">
        <v>85</v>
      </c>
      <c r="F1" s="162" t="s">
        <v>88</v>
      </c>
      <c r="G1" s="162" t="s">
        <v>83</v>
      </c>
      <c r="H1" s="162" t="s">
        <v>84</v>
      </c>
      <c r="I1" s="162" t="s">
        <v>81</v>
      </c>
      <c r="J1" s="165" t="s">
        <v>82</v>
      </c>
      <c r="K1" s="162" t="s">
        <v>122</v>
      </c>
      <c r="L1" s="162" t="s">
        <v>138</v>
      </c>
      <c r="M1" s="212" t="s">
        <v>123</v>
      </c>
      <c r="N1" s="212" t="s">
        <v>125</v>
      </c>
      <c r="O1" s="212" t="s">
        <v>124</v>
      </c>
      <c r="P1" s="246" t="s">
        <v>132</v>
      </c>
      <c r="Q1" s="246" t="s">
        <v>142</v>
      </c>
      <c r="R1" s="249" t="s">
        <v>134</v>
      </c>
      <c r="S1" s="249" t="s">
        <v>147</v>
      </c>
      <c r="T1" s="249" t="s">
        <v>133</v>
      </c>
    </row>
    <row r="2" spans="1:20" ht="15.75" thickTop="1">
      <c r="A2" s="20" t="s">
        <v>2</v>
      </c>
      <c r="B2" s="71" t="s">
        <v>15</v>
      </c>
      <c r="C2" s="76">
        <f>'Necesidades energéticas'!G2*0.13/6.25</f>
        <v>1.3897519999999998E-2</v>
      </c>
      <c r="D2" s="76"/>
      <c r="E2" s="77"/>
      <c r="F2" s="76">
        <f>IF(SUM(C2:E2)&gt;0,SUM(C2:E2),0)</f>
        <v>1.3897519999999998E-2</v>
      </c>
      <c r="G2" s="147">
        <f>'Necesidades energéticas'!Q2*Piensos!N18/6.25</f>
        <v>3.7004544106967074E-2</v>
      </c>
      <c r="H2" s="76">
        <f>G2-F2</f>
        <v>2.3107024106967078E-2</v>
      </c>
      <c r="I2" s="164">
        <f>F2*'Necesidades energéticas'!F2*'Estructura granja'!C2</f>
        <v>12.98364478811869</v>
      </c>
      <c r="J2" s="149">
        <f>G2*'Necesidades energéticas'!F2*'Estructura granja'!C2</f>
        <v>34.571193726012353</v>
      </c>
      <c r="K2" s="156">
        <f>J2-I2</f>
        <v>21.587548937893665</v>
      </c>
      <c r="L2" s="133">
        <f>'Necesidades energéticas'!P2*((1-Piensos!P18/Piensos!O18)+0.02)*(1-0.02)/18.45</f>
        <v>209.3486517570625</v>
      </c>
      <c r="M2" s="133">
        <f>K2*0.238</f>
        <v>5.137836647218692</v>
      </c>
      <c r="N2" s="35">
        <f>M2*14/17</f>
        <v>4.2311595918271578</v>
      </c>
      <c r="O2" s="35">
        <f>K2-N2</f>
        <v>17.356389346066507</v>
      </c>
      <c r="P2" s="35">
        <f>0.119*O2</f>
        <v>2.0654103321819144</v>
      </c>
      <c r="Q2" s="133">
        <f>M2+P2</f>
        <v>7.2032469794006069</v>
      </c>
      <c r="R2" s="134">
        <f>0.105525*L2</f>
        <v>22.091516476664019</v>
      </c>
      <c r="S2" s="76">
        <f>'Estructura granja'!D2*0.002249</f>
        <v>6.3650387046855625E-3</v>
      </c>
      <c r="T2" s="248">
        <f>'Necesidades energéticas'!P2*0.006/55.65</f>
        <v>2.0137888877805654</v>
      </c>
    </row>
    <row r="3" spans="1:20">
      <c r="A3" s="21" t="s">
        <v>3</v>
      </c>
      <c r="B3" s="72" t="s">
        <v>14</v>
      </c>
      <c r="C3" s="74">
        <f>'Necesidades energéticas'!G3*0.157/6.25</f>
        <v>1.2405511999999999E-2</v>
      </c>
      <c r="D3" s="74"/>
      <c r="E3" s="23"/>
      <c r="F3" s="74">
        <f t="shared" ref="F3:F12" si="0">IF(SUM(C3:E3)&gt;0,SUM(C3:E3),0)</f>
        <v>1.2405511999999999E-2</v>
      </c>
      <c r="G3" s="78">
        <f>'Necesidades energéticas'!Q3*Piensos!W18/6.25</f>
        <v>4.6620920579800433E-2</v>
      </c>
      <c r="H3" s="74">
        <f>G3-F3</f>
        <v>3.4215408579800433E-2</v>
      </c>
      <c r="I3" s="35">
        <f>F3*'Necesidades energéticas'!F3*'Estructura granja'!C3</f>
        <v>16.243616581644751</v>
      </c>
      <c r="J3" s="32">
        <f>G3*'Necesidades energéticas'!F3*'Estructura granja'!C3</f>
        <v>61.044828990660726</v>
      </c>
      <c r="K3" s="157">
        <f t="shared" ref="K3:K12" si="1">J3-I3</f>
        <v>44.801212409015974</v>
      </c>
      <c r="L3" s="35">
        <f>'Necesidades energéticas'!P3*((1-Piensos!Y18/Piensos!X18)+0.02)*(1-0.02)/18.45</f>
        <v>615.43343668311388</v>
      </c>
      <c r="M3" s="35">
        <f>K3*0.238</f>
        <v>10.662688553345802</v>
      </c>
      <c r="N3" s="35">
        <f t="shared" ref="N3:N12" si="2">M3*14/17</f>
        <v>8.7810376321671306</v>
      </c>
      <c r="O3" s="35">
        <f t="shared" ref="O3:O12" si="3">K3-N3</f>
        <v>36.020174776848847</v>
      </c>
      <c r="P3" s="35">
        <f>0.119*O3</f>
        <v>4.2864007984450128</v>
      </c>
      <c r="Q3" s="35">
        <f>M3+P3</f>
        <v>14.949089351790814</v>
      </c>
      <c r="R3" s="134">
        <f>0.105525*L3</f>
        <v>64.943613405985587</v>
      </c>
      <c r="S3" s="74">
        <f>'Estructura granja'!D3*0.003189</f>
        <v>1.2237682718010293E-2</v>
      </c>
      <c r="T3" s="134">
        <f>'Necesidades energéticas'!P3*0.006/55.65</f>
        <v>4.375308359490286</v>
      </c>
    </row>
    <row r="4" spans="1:20">
      <c r="A4" s="21" t="s">
        <v>4</v>
      </c>
      <c r="B4" s="72" t="s">
        <v>18</v>
      </c>
      <c r="C4" s="74">
        <f>'Necesidades energéticas'!G4*0.153/6.25</f>
        <v>1.0526303412248941E-2</v>
      </c>
      <c r="D4" s="74"/>
      <c r="E4" s="23"/>
      <c r="F4" s="74">
        <f t="shared" si="0"/>
        <v>1.0526303412248941E-2</v>
      </c>
      <c r="G4" s="78">
        <f>'Necesidades energéticas'!Q4*Piensos!W18/6.25</f>
        <v>4.714656760789903E-2</v>
      </c>
      <c r="H4" s="74">
        <f t="shared" ref="H4:H12" si="4">G4-F4</f>
        <v>3.6620264195650093E-2</v>
      </c>
      <c r="I4" s="35">
        <f>F4*'Necesidades energéticas'!F4*'Estructura granja'!C4</f>
        <v>1.0263782385839639</v>
      </c>
      <c r="J4" s="32">
        <f>G4*'Necesidades energéticas'!F4*'Estructura granja'!C4</f>
        <v>4.5970754519925645</v>
      </c>
      <c r="K4" s="157">
        <f t="shared" si="1"/>
        <v>3.5706972134086006</v>
      </c>
      <c r="L4" s="35">
        <f>'Necesidades energéticas'!P4*((1-Piensos!Y18/Piensos!X18)+0.02)*(1-0.02)/18.45</f>
        <v>46.346168723712907</v>
      </c>
      <c r="M4" s="35">
        <f t="shared" ref="M4:M11" si="5">K4*0.238</f>
        <v>0.84982593679124685</v>
      </c>
      <c r="N4" s="35">
        <f t="shared" si="2"/>
        <v>0.69985665382808571</v>
      </c>
      <c r="O4" s="35">
        <f t="shared" si="3"/>
        <v>2.8708405595805147</v>
      </c>
      <c r="P4" s="35">
        <f t="shared" ref="P4:P11" si="6">0.119*O4</f>
        <v>0.34163002659008124</v>
      </c>
      <c r="Q4" s="35">
        <f t="shared" ref="Q4:Q11" si="7">M4+P4</f>
        <v>1.191455963381328</v>
      </c>
      <c r="R4" s="134">
        <f t="shared" ref="R4:R12" si="8">0.105525*L4</f>
        <v>4.8906794545698045</v>
      </c>
      <c r="S4" s="74">
        <f>'Estructura granja'!D4*0.003189</f>
        <v>8.5190899970613034E-4</v>
      </c>
      <c r="T4" s="134">
        <f>'Necesidades energéticas'!P4*0.0065/55.65</f>
        <v>0.35694682474803607</v>
      </c>
    </row>
    <row r="5" spans="1:20">
      <c r="A5" s="21" t="s">
        <v>5</v>
      </c>
      <c r="B5" s="72" t="s">
        <v>48</v>
      </c>
      <c r="C5" s="74">
        <f>'Necesidades energéticas'!G5*0.153/6.25</f>
        <v>4.5094736842105259E-3</v>
      </c>
      <c r="D5" s="74"/>
      <c r="E5" s="148">
        <f>Datos!B13*Datos!B9*0.2/'Necesidades energéticas'!F5/6.25</f>
        <v>4.7330526315789486E-3</v>
      </c>
      <c r="F5" s="74">
        <f t="shared" si="0"/>
        <v>9.2425263157894753E-3</v>
      </c>
      <c r="G5" s="78">
        <f>'Necesidades energéticas'!Q5*Piensos!AF18/6.25</f>
        <v>4.5470929628187946E-2</v>
      </c>
      <c r="H5" s="74">
        <f t="shared" si="4"/>
        <v>3.6228403312398474E-2</v>
      </c>
      <c r="I5" s="35">
        <f>F5*'Necesidades energéticas'!F5*'Estructura granja'!C5</f>
        <v>0.90058262519920329</v>
      </c>
      <c r="J5" s="32">
        <f>G5*'Necesidades energéticas'!F5*'Estructura granja'!C5</f>
        <v>4.4306424213090114</v>
      </c>
      <c r="K5" s="157">
        <f t="shared" si="1"/>
        <v>3.5300597961098079</v>
      </c>
      <c r="L5" s="35">
        <f>'Necesidades energéticas'!P5*((1-Piensos!AH18/Piensos!AG18)+0.02)*(1-0.02)/18.45</f>
        <v>52.791791152785656</v>
      </c>
      <c r="M5" s="35">
        <f t="shared" si="5"/>
        <v>0.84015423147413426</v>
      </c>
      <c r="N5" s="35">
        <f t="shared" si="2"/>
        <v>0.69189172003752231</v>
      </c>
      <c r="O5" s="35">
        <f t="shared" si="3"/>
        <v>2.8381680760722858</v>
      </c>
      <c r="P5" s="35">
        <f t="shared" si="6"/>
        <v>0.33774200105260199</v>
      </c>
      <c r="Q5" s="35">
        <f t="shared" si="7"/>
        <v>1.1778962325267361</v>
      </c>
      <c r="R5" s="134">
        <f t="shared" si="8"/>
        <v>5.5708537613977063</v>
      </c>
      <c r="S5" s="74">
        <f>'Estructura granja'!D5*0.005625</f>
        <v>1.5016285972581026E-3</v>
      </c>
      <c r="T5" s="134">
        <f>'Necesidades energéticas'!P5*0.0105/55.65</f>
        <v>0.60358213356946711</v>
      </c>
    </row>
    <row r="6" spans="1:20">
      <c r="A6" s="21" t="s">
        <v>6</v>
      </c>
      <c r="B6" s="72" t="s">
        <v>51</v>
      </c>
      <c r="C6" s="74">
        <f>'Necesidades energéticas'!G6*0.153/6.25</f>
        <v>0</v>
      </c>
      <c r="D6" s="74">
        <f>0.155*(Datos!B11-Datos!B9)*Datos!B13/Datos!B10/6.25</f>
        <v>5.7516055578947366E-2</v>
      </c>
      <c r="E6" s="23"/>
      <c r="F6" s="74">
        <f t="shared" si="0"/>
        <v>5.7516055578947366E-2</v>
      </c>
      <c r="G6" s="78">
        <f>'Necesidades energéticas'!Q6*Piensos!AO18/6.25</f>
        <v>0.16746332572941777</v>
      </c>
      <c r="H6" s="74">
        <f t="shared" si="4"/>
        <v>0.1099472701504704</v>
      </c>
      <c r="I6" s="35">
        <f>F6*'Necesidades energéticas'!F6*'Estructura granja'!C6</f>
        <v>1.1369739010489746</v>
      </c>
      <c r="J6" s="32">
        <f>G6*'Necesidades energéticas'!F6*'Estructura granja'!C6</f>
        <v>3.310404874267908</v>
      </c>
      <c r="K6" s="157">
        <f t="shared" si="1"/>
        <v>2.1734309732189336</v>
      </c>
      <c r="L6" s="35">
        <f>'Necesidades energéticas'!P6*((1-Piensos!AQ18/Piensos!AP18)+0.02)*(1-0.02)/18.45</f>
        <v>29.175207503811169</v>
      </c>
      <c r="M6" s="35">
        <f t="shared" si="5"/>
        <v>0.51727657162610619</v>
      </c>
      <c r="N6" s="35">
        <f t="shared" si="2"/>
        <v>0.42599247075091096</v>
      </c>
      <c r="O6" s="35">
        <f t="shared" si="3"/>
        <v>1.7474385024680226</v>
      </c>
      <c r="P6" s="35">
        <f t="shared" si="6"/>
        <v>0.20794518179369467</v>
      </c>
      <c r="Q6" s="35">
        <f t="shared" si="7"/>
        <v>0.72522175341980089</v>
      </c>
      <c r="R6" s="134">
        <f t="shared" si="8"/>
        <v>3.0787137718396735</v>
      </c>
      <c r="S6" s="74">
        <f>'Estructura granja'!D6*0.006525</f>
        <v>4.575415706325841E-4</v>
      </c>
      <c r="T6" s="134">
        <f>'Necesidades energéticas'!P6*0.009/55.65</f>
        <v>0.30621199498505519</v>
      </c>
    </row>
    <row r="7" spans="1:20">
      <c r="A7" s="21" t="s">
        <v>7</v>
      </c>
      <c r="B7" s="72" t="s">
        <v>52</v>
      </c>
      <c r="C7" s="74">
        <f>'Necesidades energéticas'!G7*0.13/6.25</f>
        <v>8.9439179319762245E-3</v>
      </c>
      <c r="D7" s="74"/>
      <c r="E7" s="23"/>
      <c r="F7" s="74">
        <f t="shared" si="0"/>
        <v>8.9439179319762245E-3</v>
      </c>
      <c r="G7" s="78">
        <f>'Necesidades energéticas'!Q7*Piensos!AF18/6.25</f>
        <v>5.5367397237643556E-2</v>
      </c>
      <c r="H7" s="74">
        <f t="shared" si="4"/>
        <v>4.6423479305667328E-2</v>
      </c>
      <c r="I7" s="35">
        <f>F7*'Necesidades energéticas'!F7*'Estructura granja'!C7</f>
        <v>8.6158423959877703E-2</v>
      </c>
      <c r="J7" s="32">
        <f>G7*'Necesidades energéticas'!F7*'Estructura granja'!C7</f>
        <v>0.53336442944102547</v>
      </c>
      <c r="K7" s="157">
        <f t="shared" si="1"/>
        <v>0.44720600548114775</v>
      </c>
      <c r="L7" s="35">
        <f>'Necesidades energéticas'!P7*((1-Piensos!AH18/Piensos!AG18)+0.02)*(1-0.02)/18.45</f>
        <v>6.3551198426562214</v>
      </c>
      <c r="M7" s="35">
        <f t="shared" si="5"/>
        <v>0.10643502930451317</v>
      </c>
      <c r="N7" s="35">
        <f t="shared" si="2"/>
        <v>8.7652377074304955E-2</v>
      </c>
      <c r="O7" s="35">
        <f t="shared" si="3"/>
        <v>0.3595536284068428</v>
      </c>
      <c r="P7" s="35">
        <f t="shared" si="6"/>
        <v>4.2786881780414288E-2</v>
      </c>
      <c r="Q7" s="35">
        <f t="shared" si="7"/>
        <v>0.14922191108492744</v>
      </c>
      <c r="R7" s="134">
        <f t="shared" si="8"/>
        <v>0.67062402139629773</v>
      </c>
      <c r="S7" s="74">
        <f>'Estructura granja'!D7*0.021601</f>
        <v>5.7009985823538274E-4</v>
      </c>
      <c r="T7" s="134">
        <f>'Necesidades energéticas'!P7*0.0105/55.65</f>
        <v>7.2659720573199249E-2</v>
      </c>
    </row>
    <row r="8" spans="1:20">
      <c r="A8" s="21" t="s">
        <v>8</v>
      </c>
      <c r="B8" s="72" t="s">
        <v>49</v>
      </c>
      <c r="C8" s="74">
        <f>'Necesidades energéticas'!G8*0.13/6.25</f>
        <v>3.8315789473684207E-3</v>
      </c>
      <c r="D8" s="74"/>
      <c r="E8" s="148">
        <f>Datos!B13*Datos!B9*0.2/'Necesidades energéticas'!F8/6.25</f>
        <v>4.7330526315789486E-3</v>
      </c>
      <c r="F8" s="74">
        <f t="shared" si="0"/>
        <v>8.5646315789473688E-3</v>
      </c>
      <c r="G8" s="78">
        <f>'Necesidades energéticas'!Q8*Piensos!AF18/6.25</f>
        <v>5.8147936053764365E-2</v>
      </c>
      <c r="H8" s="74">
        <f t="shared" si="4"/>
        <v>4.9583304474817E-2</v>
      </c>
      <c r="I8" s="35">
        <f>F8*'Necesidades energéticas'!F8*'Estructura granja'!C8</f>
        <v>8.9133448722931899E-2</v>
      </c>
      <c r="J8" s="32">
        <f>G8*'Necesidades energéticas'!F8*'Estructura granja'!C8</f>
        <v>0.60515458590567117</v>
      </c>
      <c r="K8" s="157">
        <f t="shared" si="1"/>
        <v>0.51602113718273923</v>
      </c>
      <c r="L8" s="35">
        <f>'Necesidades energéticas'!P8*((1-Piensos!AH18/Piensos!AG18)+0.02)*(1-0.02)/18.45</f>
        <v>7.2105106836502602</v>
      </c>
      <c r="M8" s="35">
        <f t="shared" si="5"/>
        <v>0.12281303064949194</v>
      </c>
      <c r="N8" s="35">
        <f t="shared" si="2"/>
        <v>0.10114014288781689</v>
      </c>
      <c r="O8" s="35">
        <f t="shared" si="3"/>
        <v>0.41488099429492231</v>
      </c>
      <c r="P8" s="35">
        <f t="shared" si="6"/>
        <v>4.9370838321095754E-2</v>
      </c>
      <c r="Q8" s="35">
        <f t="shared" si="7"/>
        <v>0.17218386897058768</v>
      </c>
      <c r="R8" s="134">
        <f t="shared" si="8"/>
        <v>0.76088913989219364</v>
      </c>
      <c r="S8" s="74">
        <f>'Estructura granja'!D8*0.005625</f>
        <v>1.6038423866674814E-4</v>
      </c>
      <c r="T8" s="134">
        <f>'Necesidades energéticas'!P8*0.0105/55.65</f>
        <v>8.2439624182620921E-2</v>
      </c>
    </row>
    <row r="9" spans="1:20">
      <c r="A9" s="21" t="s">
        <v>9</v>
      </c>
      <c r="B9" s="72" t="s">
        <v>50</v>
      </c>
      <c r="C9" s="74">
        <f>'Necesidades energéticas'!G9*0.13/6.25</f>
        <v>0</v>
      </c>
      <c r="D9" s="74">
        <f>0.155*(Datos!B11-Datos!B9)*Datos!B13/Datos!B10/6.25</f>
        <v>5.7516055578947366E-2</v>
      </c>
      <c r="E9" s="23"/>
      <c r="F9" s="74">
        <f t="shared" si="0"/>
        <v>5.7516055578947366E-2</v>
      </c>
      <c r="G9" s="78">
        <f>'Necesidades energéticas'!Q9*Piensos!AO18/6.25</f>
        <v>0.18451636640175015</v>
      </c>
      <c r="H9" s="74">
        <f t="shared" si="4"/>
        <v>0.12700031082280278</v>
      </c>
      <c r="I9" s="35">
        <f>F9*'Necesidades energéticas'!F9*'Estructura granja'!C9</f>
        <v>0.12143661477722864</v>
      </c>
      <c r="J9" s="32">
        <f>G9*'Necesidades energéticas'!F9*'Estructura granja'!C9</f>
        <v>0.38957892159463331</v>
      </c>
      <c r="K9" s="157">
        <f t="shared" si="1"/>
        <v>0.2681423068174047</v>
      </c>
      <c r="L9" s="35">
        <f>'Necesidades energéticas'!P9*((1-Piensos!AQ18/Piensos!AP18)+0.02)*(1-0.02)/18.45</f>
        <v>3.4334307458836131</v>
      </c>
      <c r="M9" s="35">
        <f t="shared" si="5"/>
        <v>6.3817869022542315E-2</v>
      </c>
      <c r="N9" s="35">
        <f t="shared" si="2"/>
        <v>5.2555892136211313E-2</v>
      </c>
      <c r="O9" s="35">
        <f t="shared" si="3"/>
        <v>0.21558641468119338</v>
      </c>
      <c r="P9" s="35">
        <f t="shared" si="6"/>
        <v>2.5654783347062012E-2</v>
      </c>
      <c r="Q9" s="35">
        <f t="shared" si="7"/>
        <v>8.9472652369604333E-2</v>
      </c>
      <c r="R9" s="134">
        <f t="shared" si="8"/>
        <v>0.36231277945936824</v>
      </c>
      <c r="S9" s="74">
        <f>'Estructura granja'!D9*0.005625</f>
        <v>4.2128085764216137E-5</v>
      </c>
      <c r="T9" s="134">
        <f>'Necesidades energéticas'!P9*0.009/55.65</f>
        <v>3.6035996597546319E-2</v>
      </c>
    </row>
    <row r="10" spans="1:20">
      <c r="A10" s="21" t="s">
        <v>10</v>
      </c>
      <c r="B10" s="72" t="s">
        <v>53</v>
      </c>
      <c r="C10" s="74">
        <f>'Necesidades energéticas'!G10*0.13/6.25</f>
        <v>-8.8229056203605518E-3</v>
      </c>
      <c r="D10" s="74"/>
      <c r="E10" s="23"/>
      <c r="F10" s="74">
        <f t="shared" si="0"/>
        <v>0</v>
      </c>
      <c r="G10" s="78">
        <f>'Necesidades energéticas'!Q10*Piensos!AF18/6.25</f>
        <v>4.7720994368566749E-2</v>
      </c>
      <c r="H10" s="74">
        <f t="shared" si="4"/>
        <v>4.7720994368566749E-2</v>
      </c>
      <c r="I10" s="35">
        <f>F10*'Necesidades energéticas'!F10*'Estructura granja'!C10</f>
        <v>0</v>
      </c>
      <c r="J10" s="32">
        <f>G10*'Necesidades energéticas'!F10*'Estructura granja'!C10</f>
        <v>4.9099670940067314E-2</v>
      </c>
      <c r="K10" s="157">
        <f t="shared" si="1"/>
        <v>4.9099670940067314E-2</v>
      </c>
      <c r="L10" s="35">
        <f>'Necesidades energéticas'!P10*((1-Piensos!AH18/Piensos!AG18)+0.02)*(1-0.02)/18.45</f>
        <v>0.58503018918252536</v>
      </c>
      <c r="M10" s="35">
        <f t="shared" si="5"/>
        <v>1.1685721683736021E-2</v>
      </c>
      <c r="N10" s="35">
        <f t="shared" si="2"/>
        <v>9.6235355042531938E-3</v>
      </c>
      <c r="O10" s="35">
        <f t="shared" si="3"/>
        <v>3.9476135435814116E-2</v>
      </c>
      <c r="P10" s="35">
        <f t="shared" si="6"/>
        <v>4.6976601168618798E-3</v>
      </c>
      <c r="Q10" s="35">
        <f t="shared" si="7"/>
        <v>1.6383381800597899E-2</v>
      </c>
      <c r="R10" s="134">
        <f t="shared" si="8"/>
        <v>6.1735310713485987E-2</v>
      </c>
      <c r="S10" s="74">
        <f>'Estructura granja'!D10*0.021601</f>
        <v>6.0890577000237345E-5</v>
      </c>
      <c r="T10" s="134">
        <f>'Necesidades energéticas'!P10*0.0105/55.65</f>
        <v>6.6888007032643538E-3</v>
      </c>
    </row>
    <row r="11" spans="1:20">
      <c r="A11" s="21" t="s">
        <v>11</v>
      </c>
      <c r="B11" s="72" t="s">
        <v>17</v>
      </c>
      <c r="C11" s="74">
        <f>'Necesidades energéticas'!G11*0.157/6.25</f>
        <v>1.3898041417034854E-2</v>
      </c>
      <c r="D11" s="74"/>
      <c r="E11" s="23"/>
      <c r="F11" s="74">
        <f t="shared" si="0"/>
        <v>1.3898041417034854E-2</v>
      </c>
      <c r="G11" s="78">
        <f>'Necesidades energéticas'!Q11*Piensos!W18/6.25</f>
        <v>5.3073502969927626E-2</v>
      </c>
      <c r="H11" s="74">
        <f t="shared" si="4"/>
        <v>3.9175461552892768E-2</v>
      </c>
      <c r="I11" s="35">
        <f>F11*'Necesidades energéticas'!F11*'Estructura granja'!C11</f>
        <v>4.200943560455501E-3</v>
      </c>
      <c r="J11" s="32">
        <f>G11*'Necesidades energéticas'!F11*'Estructura granja'!C11</f>
        <v>1.6042461224719938E-2</v>
      </c>
      <c r="K11" s="157">
        <f t="shared" si="1"/>
        <v>1.1841517664264438E-2</v>
      </c>
      <c r="L11" s="35">
        <f>'Necesidades energéticas'!P11*((1-Piensos!Y18/Piensos!X18)+0.02)*(1-0.02)/18.45</f>
        <v>0.16173469903397503</v>
      </c>
      <c r="M11" s="35">
        <f t="shared" si="5"/>
        <v>2.818281204094936E-3</v>
      </c>
      <c r="N11" s="35">
        <f t="shared" si="2"/>
        <v>2.3209374621958297E-3</v>
      </c>
      <c r="O11" s="35">
        <f t="shared" si="3"/>
        <v>9.5205802020686091E-3</v>
      </c>
      <c r="P11" s="35">
        <f t="shared" si="6"/>
        <v>1.1329490440461644E-3</v>
      </c>
      <c r="Q11" s="35">
        <f t="shared" si="7"/>
        <v>3.9512302481411006E-3</v>
      </c>
      <c r="R11" s="134">
        <f t="shared" si="8"/>
        <v>1.7067054115560212E-2</v>
      </c>
      <c r="S11" s="74">
        <f>'Estructura granja'!D11*0.003189</f>
        <v>2.6409178990890043E-6</v>
      </c>
      <c r="T11" s="134">
        <f>'Necesidades energéticas'!P11*0.00709/55.65</f>
        <v>1.3587068593001973E-3</v>
      </c>
    </row>
    <row r="12" spans="1:20" ht="15.75" thickBot="1">
      <c r="A12" s="22" t="s">
        <v>12</v>
      </c>
      <c r="B12" s="73" t="s">
        <v>16</v>
      </c>
      <c r="C12" s="75">
        <f>'Necesidades energéticas'!G12*0.161/6.25</f>
        <v>5.8912767123287671E-3</v>
      </c>
      <c r="D12" s="75"/>
      <c r="E12" s="24"/>
      <c r="F12" s="75">
        <f t="shared" si="0"/>
        <v>5.8912767123287671E-3</v>
      </c>
      <c r="G12" s="75">
        <f>'Necesidades energéticas'!Q12*Piensos!AF18/6.25</f>
        <v>5.5127705107856625E-2</v>
      </c>
      <c r="H12" s="75">
        <f t="shared" si="4"/>
        <v>4.9236428395527859E-2</v>
      </c>
      <c r="I12" s="33">
        <f>F12*'Necesidades energéticas'!F12*'Estructura granja'!C12</f>
        <v>7.5369228748377159E-3</v>
      </c>
      <c r="J12" s="160">
        <f>G12*'Necesidades energéticas'!F12*'Estructura granja'!C12</f>
        <v>7.0526862334475526E-2</v>
      </c>
      <c r="K12" s="158">
        <f t="shared" si="1"/>
        <v>6.2989939459637809E-2</v>
      </c>
      <c r="L12" s="33">
        <f>'Necesidades energéticas'!P12*((1-Piensos!AH18/Piensos!AG18)+0.02)*(1-0.02)/18.45</f>
        <v>0.840338495635783</v>
      </c>
      <c r="M12" s="33">
        <f>K12*0.238</f>
        <v>1.4991605591393798E-2</v>
      </c>
      <c r="N12" s="33">
        <f t="shared" si="2"/>
        <v>1.2346028134089011E-2</v>
      </c>
      <c r="O12" s="33">
        <f t="shared" si="3"/>
        <v>5.0643911325548796E-2</v>
      </c>
      <c r="P12" s="33">
        <f>0.119*O12</f>
        <v>6.0266254477403065E-3</v>
      </c>
      <c r="Q12" s="33">
        <f>M12+P12</f>
        <v>2.1018231039134104E-2</v>
      </c>
      <c r="R12" s="160">
        <f t="shared" si="8"/>
        <v>8.8676719751965991E-2</v>
      </c>
      <c r="S12" s="75">
        <f>'Estructura granja'!D12*0.006749</f>
        <v>2.3655449934930377E-5</v>
      </c>
      <c r="T12" s="160">
        <f>'Necesidades energéticas'!P12*0.0099/55.65</f>
        <v>9.0587887701812347E-3</v>
      </c>
    </row>
    <row r="13" spans="1:20" ht="15.75" thickTop="1"/>
    <row r="14" spans="1:20" ht="15.75" thickBot="1"/>
    <row r="15" spans="1:20" ht="19.5" thickTop="1" thickBot="1">
      <c r="L15" s="426" t="s">
        <v>121</v>
      </c>
      <c r="M15" s="427"/>
      <c r="N15" s="181">
        <f>SUM(K2:K12)</f>
        <v>77.018249907192242</v>
      </c>
    </row>
    <row r="16" spans="1:20" ht="19.5" thickTop="1" thickBot="1">
      <c r="L16" s="424" t="s">
        <v>106</v>
      </c>
      <c r="M16" s="425"/>
      <c r="N16" s="181">
        <f>SUM(L2:L12)</f>
        <v>971.6814204765285</v>
      </c>
    </row>
    <row r="17" spans="12:16" ht="19.5" thickTop="1" thickBot="1">
      <c r="L17" s="428" t="s">
        <v>135</v>
      </c>
      <c r="M17" s="429"/>
      <c r="N17" s="248">
        <f>SUM(Q2:Q12)</f>
        <v>25.699141556032281</v>
      </c>
    </row>
    <row r="18" spans="12:16" ht="18.75" customHeight="1" thickTop="1" thickBot="1">
      <c r="L18" s="430" t="s">
        <v>136</v>
      </c>
      <c r="M18" s="431"/>
      <c r="N18" s="181">
        <f>SUM(R2:R12)</f>
        <v>102.53668189578566</v>
      </c>
    </row>
    <row r="19" spans="12:16" ht="18.75" customHeight="1" thickTop="1" thickBot="1">
      <c r="L19" s="421" t="s">
        <v>154</v>
      </c>
      <c r="M19" s="423"/>
      <c r="N19" s="277">
        <f>SUM(S2:S12)</f>
        <v>2.2273599717793278E-2</v>
      </c>
      <c r="O19" s="78"/>
    </row>
    <row r="20" spans="12:16" ht="19.5" thickTop="1" thickBot="1">
      <c r="L20" s="421" t="s">
        <v>137</v>
      </c>
      <c r="M20" s="422"/>
      <c r="N20" s="250">
        <f>SUM(T2:T12)</f>
        <v>7.8640798382595225</v>
      </c>
      <c r="P20" s="264"/>
    </row>
    <row r="21" spans="12:16" ht="15.75" thickTop="1"/>
  </sheetData>
  <mergeCells count="6">
    <mergeCell ref="L20:M20"/>
    <mergeCell ref="L19:M19"/>
    <mergeCell ref="L16:M16"/>
    <mergeCell ref="L15:M15"/>
    <mergeCell ref="L17:M17"/>
    <mergeCell ref="L18:M18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D19" sqref="D19"/>
    </sheetView>
  </sheetViews>
  <sheetFormatPr baseColWidth="10" defaultRowHeight="15"/>
  <cols>
    <col min="1" max="1" width="42.42578125" customWidth="1"/>
    <col min="2" max="3" width="11.28515625" customWidth="1"/>
    <col min="4" max="5" width="12.42578125" customWidth="1"/>
    <col min="6" max="6" width="13.85546875" customWidth="1"/>
    <col min="7" max="7" width="13.140625" customWidth="1"/>
    <col min="8" max="8" width="14.85546875" customWidth="1"/>
    <col min="9" max="9" width="14.140625" customWidth="1"/>
    <col min="10" max="10" width="16" customWidth="1"/>
  </cols>
  <sheetData>
    <row r="1" spans="1:11" ht="18.75" customHeight="1" thickTop="1">
      <c r="A1" s="436" t="s">
        <v>13</v>
      </c>
      <c r="B1" s="438" t="s">
        <v>140</v>
      </c>
      <c r="C1" s="439"/>
      <c r="D1" s="439"/>
      <c r="E1" s="440"/>
      <c r="F1" s="438" t="s">
        <v>139</v>
      </c>
      <c r="G1" s="440"/>
      <c r="H1" s="441" t="s">
        <v>143</v>
      </c>
      <c r="I1" s="442"/>
      <c r="J1" s="434" t="s">
        <v>158</v>
      </c>
      <c r="K1" s="432" t="s">
        <v>173</v>
      </c>
    </row>
    <row r="2" spans="1:11" ht="31.5" thickBot="1">
      <c r="A2" s="437"/>
      <c r="B2" s="255" t="s">
        <v>141</v>
      </c>
      <c r="C2" s="256" t="s">
        <v>172</v>
      </c>
      <c r="D2" s="283" t="s">
        <v>155</v>
      </c>
      <c r="E2" s="278" t="s">
        <v>156</v>
      </c>
      <c r="F2" s="347" t="s">
        <v>171</v>
      </c>
      <c r="G2" s="348" t="s">
        <v>170</v>
      </c>
      <c r="H2" s="285" t="s">
        <v>181</v>
      </c>
      <c r="I2" s="284" t="s">
        <v>157</v>
      </c>
      <c r="J2" s="435"/>
      <c r="K2" s="433"/>
    </row>
    <row r="3" spans="1:11" ht="15.75" thickTop="1">
      <c r="A3" s="137" t="s">
        <v>15</v>
      </c>
      <c r="B3" s="252">
        <f>'Balance Nitrógeno'!Q2</f>
        <v>7.2032469794006069</v>
      </c>
      <c r="C3" s="279">
        <f>'Balance Nitrógeno'!R2</f>
        <v>22.091516476664019</v>
      </c>
      <c r="D3" s="280">
        <f>'Balance Nitrógeno'!S2</f>
        <v>6.3650387046855625E-3</v>
      </c>
      <c r="E3" s="32">
        <f>C3*21+D3*298</f>
        <v>465.81862754394069</v>
      </c>
      <c r="F3" s="252">
        <f>'Necesidades energéticas'!S2*Piensos!R18</f>
        <v>1549.004466431021</v>
      </c>
      <c r="G3" s="248">
        <f>'Necesidades energéticas'!S2*Piensos!S18/1000</f>
        <v>4.7844722638240302</v>
      </c>
      <c r="H3" s="345">
        <f>'Balance Nitrógeno'!T2</f>
        <v>2.0137888877805654</v>
      </c>
      <c r="I3" s="134">
        <f>H3*21</f>
        <v>42.289566643391872</v>
      </c>
      <c r="J3" s="247">
        <f>E3+F3+I3</f>
        <v>2057.1126606183534</v>
      </c>
      <c r="K3" s="35">
        <f>B3+G3</f>
        <v>11.987719243224637</v>
      </c>
    </row>
    <row r="4" spans="1:11">
      <c r="A4" s="138" t="s">
        <v>14</v>
      </c>
      <c r="B4" s="253">
        <f>'Balance Nitrógeno'!Q3</f>
        <v>14.949089351790814</v>
      </c>
      <c r="C4" s="280">
        <f>'Balance Nitrógeno'!R3</f>
        <v>64.943613405985587</v>
      </c>
      <c r="D4" s="280">
        <f>'Balance Nitrógeno'!S3</f>
        <v>1.2237682718010293E-2</v>
      </c>
      <c r="E4" s="32">
        <f t="shared" ref="E4:E13" si="0">C4*21+D4*298</f>
        <v>1367.4627109756643</v>
      </c>
      <c r="F4" s="253">
        <f>'Necesidades energéticas'!S3*Piensos!AA18</f>
        <v>3038.9119599543833</v>
      </c>
      <c r="G4" s="134">
        <f>'Necesidades energéticas'!S3*Piensos!AB18/1000</f>
        <v>5.0141423076147165</v>
      </c>
      <c r="H4" s="345">
        <f>'Balance Nitrógeno'!T3</f>
        <v>4.375308359490286</v>
      </c>
      <c r="I4" s="134">
        <f t="shared" ref="I4:I13" si="1">H4*21</f>
        <v>91.881475549295999</v>
      </c>
      <c r="J4" s="247">
        <f t="shared" ref="J4:J13" si="2">E4+F4+I4</f>
        <v>4498.2561464793434</v>
      </c>
      <c r="K4" s="35">
        <f t="shared" ref="K4:K13" si="3">B4+G4</f>
        <v>19.96323165940553</v>
      </c>
    </row>
    <row r="5" spans="1:11">
      <c r="A5" s="138" t="s">
        <v>18</v>
      </c>
      <c r="B5" s="253">
        <f>'Balance Nitrógeno'!Q4</f>
        <v>1.191455963381328</v>
      </c>
      <c r="C5" s="280">
        <f>'Balance Nitrógeno'!R4</f>
        <v>4.8906794545698045</v>
      </c>
      <c r="D5" s="280">
        <f>'Balance Nitrógeno'!S4</f>
        <v>8.5190899970613034E-4</v>
      </c>
      <c r="E5" s="32">
        <f t="shared" si="0"/>
        <v>102.95813742787831</v>
      </c>
      <c r="F5" s="253">
        <f>'Necesidades energéticas'!S4*Piensos!AA18</f>
        <v>228.84997472939432</v>
      </c>
      <c r="G5" s="134">
        <f>'Necesidades energéticas'!S4*Piensos!AB18/1000</f>
        <v>0.3775977571934791</v>
      </c>
      <c r="H5" s="345">
        <f>'Balance Nitrógeno'!T4</f>
        <v>0.35694682474803607</v>
      </c>
      <c r="I5" s="134">
        <f t="shared" si="1"/>
        <v>7.4958833197087573</v>
      </c>
      <c r="J5" s="247">
        <f t="shared" si="2"/>
        <v>339.30399547698136</v>
      </c>
      <c r="K5" s="35">
        <f t="shared" si="3"/>
        <v>1.5690537205748072</v>
      </c>
    </row>
    <row r="6" spans="1:11">
      <c r="A6" s="138" t="s">
        <v>48</v>
      </c>
      <c r="B6" s="253">
        <f>'Balance Nitrógeno'!Q5</f>
        <v>1.1778962325267361</v>
      </c>
      <c r="C6" s="280">
        <f>'Balance Nitrógeno'!R5</f>
        <v>5.5708537613977063</v>
      </c>
      <c r="D6" s="280">
        <f>'Balance Nitrógeno'!S5</f>
        <v>1.5016285972581026E-3</v>
      </c>
      <c r="E6" s="32">
        <f t="shared" si="0"/>
        <v>117.43541431133474</v>
      </c>
      <c r="F6" s="253">
        <f>'Necesidades energéticas'!S5*Piensos!AJ18</f>
        <v>221.04912594661326</v>
      </c>
      <c r="G6" s="134">
        <f>'Necesidades energéticas'!S5*Piensos!AK18/1000</f>
        <v>0.27411099854303406</v>
      </c>
      <c r="H6" s="345">
        <f>'Balance Nitrógeno'!T5</f>
        <v>0.60358213356946711</v>
      </c>
      <c r="I6" s="134">
        <f t="shared" si="1"/>
        <v>12.675224804958809</v>
      </c>
      <c r="J6" s="247">
        <f t="shared" si="2"/>
        <v>351.15976506290679</v>
      </c>
      <c r="K6" s="35">
        <f t="shared" si="3"/>
        <v>1.4520072310697703</v>
      </c>
    </row>
    <row r="7" spans="1:11">
      <c r="A7" s="138" t="s">
        <v>51</v>
      </c>
      <c r="B7" s="253">
        <f>'Balance Nitrógeno'!Q6</f>
        <v>0.72522175341980089</v>
      </c>
      <c r="C7" s="280">
        <f>'Balance Nitrógeno'!R6</f>
        <v>3.0787137718396735</v>
      </c>
      <c r="D7" s="280">
        <f>'Balance Nitrógeno'!S6</f>
        <v>4.575415706325841E-4</v>
      </c>
      <c r="E7" s="32">
        <f t="shared" si="0"/>
        <v>64.78933659668165</v>
      </c>
      <c r="F7" s="253">
        <f>'Necesidades energéticas'!S6*Piensos!AS18</f>
        <v>187.77711423405984</v>
      </c>
      <c r="G7" s="134">
        <f>'Necesidades energéticas'!S6*Piensos!AT18/1000</f>
        <v>0.19566103498334916</v>
      </c>
      <c r="H7" s="32">
        <f>'Balance Nitrógeno'!T6</f>
        <v>0.30621199498505519</v>
      </c>
      <c r="I7" s="286">
        <f t="shared" si="1"/>
        <v>6.4304518946861586</v>
      </c>
      <c r="J7" s="247">
        <f t="shared" si="2"/>
        <v>258.99690272542762</v>
      </c>
      <c r="K7" s="35">
        <f t="shared" si="3"/>
        <v>0.92088278840315008</v>
      </c>
    </row>
    <row r="8" spans="1:11">
      <c r="A8" s="138" t="s">
        <v>52</v>
      </c>
      <c r="B8" s="253">
        <f>'Balance Nitrógeno'!Q7</f>
        <v>0.14922191108492744</v>
      </c>
      <c r="C8" s="280">
        <f>'Balance Nitrógeno'!R7</f>
        <v>0.67062402139629773</v>
      </c>
      <c r="D8" s="280">
        <f>'Balance Nitrógeno'!S7</f>
        <v>5.7009985823538274E-4</v>
      </c>
      <c r="E8" s="32">
        <f t="shared" si="0"/>
        <v>14.252994207076396</v>
      </c>
      <c r="F8" s="253">
        <f>'Necesidades energéticas'!S7*Piensos!AJ18</f>
        <v>26.61007811687044</v>
      </c>
      <c r="G8" s="134">
        <f>'Necesidades energéticas'!S7*Piensos!AK18/1000</f>
        <v>3.299771058893549E-2</v>
      </c>
      <c r="H8" s="345">
        <f>'Balance Nitrógeno'!T7</f>
        <v>7.2659720573199249E-2</v>
      </c>
      <c r="I8" s="134">
        <f t="shared" si="1"/>
        <v>1.5258541320371841</v>
      </c>
      <c r="J8" s="247">
        <f t="shared" si="2"/>
        <v>42.38892645598402</v>
      </c>
      <c r="K8" s="35">
        <f t="shared" si="3"/>
        <v>0.18221962167386294</v>
      </c>
    </row>
    <row r="9" spans="1:11">
      <c r="A9" s="138" t="s">
        <v>49</v>
      </c>
      <c r="B9" s="253">
        <f>'Balance Nitrógeno'!Q8</f>
        <v>0.17218386897058768</v>
      </c>
      <c r="C9" s="280">
        <f>'Balance Nitrógeno'!R8</f>
        <v>0.76088913989219364</v>
      </c>
      <c r="D9" s="280">
        <f>'Balance Nitrógeno'!S8</f>
        <v>1.6038423866674814E-4</v>
      </c>
      <c r="E9" s="32">
        <f t="shared" si="0"/>
        <v>16.026466440858758</v>
      </c>
      <c r="F9" s="253">
        <f>'Necesidades energéticas'!S8*Piensos!AJ18</f>
        <v>30.191759920339493</v>
      </c>
      <c r="G9" s="134">
        <f>'Necesidades energéticas'!S8*Piensos!AK18/1000</f>
        <v>3.7439159390906467E-2</v>
      </c>
      <c r="H9" s="345">
        <f>'Balance Nitrógeno'!T8</f>
        <v>8.2439624182620921E-2</v>
      </c>
      <c r="I9" s="134">
        <f t="shared" si="1"/>
        <v>1.7312321078350394</v>
      </c>
      <c r="J9" s="247">
        <f t="shared" si="2"/>
        <v>47.949458469033289</v>
      </c>
      <c r="K9" s="35">
        <f t="shared" si="3"/>
        <v>0.20962302836149416</v>
      </c>
    </row>
    <row r="10" spans="1:11">
      <c r="A10" s="138" t="s">
        <v>50</v>
      </c>
      <c r="B10" s="253">
        <f>'Balance Nitrógeno'!Q9</f>
        <v>8.9472652369604333E-2</v>
      </c>
      <c r="C10" s="280">
        <f>'Balance Nitrógeno'!R9</f>
        <v>0.36231277945936824</v>
      </c>
      <c r="D10" s="280">
        <f>'Balance Nitrógeno'!S9</f>
        <v>4.2128085764216137E-5</v>
      </c>
      <c r="E10" s="32">
        <f t="shared" si="0"/>
        <v>7.6211225382044692</v>
      </c>
      <c r="F10" s="253">
        <f>'Necesidades energéticas'!S9*Piensos!AS18</f>
        <v>22.09820503591278</v>
      </c>
      <c r="G10" s="134">
        <f>'Necesidades energéticas'!S9*Piensos!AT18/1000</f>
        <v>2.3026009778867353E-2</v>
      </c>
      <c r="H10" s="345">
        <f>'Balance Nitrógeno'!T9</f>
        <v>3.6035996597546319E-2</v>
      </c>
      <c r="I10" s="134">
        <f t="shared" si="1"/>
        <v>0.75675592854847273</v>
      </c>
      <c r="J10" s="247">
        <f t="shared" si="2"/>
        <v>30.476083502665723</v>
      </c>
      <c r="K10" s="35">
        <f t="shared" si="3"/>
        <v>0.11249866214847168</v>
      </c>
    </row>
    <row r="11" spans="1:11">
      <c r="A11" s="138" t="s">
        <v>53</v>
      </c>
      <c r="B11" s="253">
        <f>'Balance Nitrógeno'!Q10</f>
        <v>1.6383381800597899E-2</v>
      </c>
      <c r="C11" s="280">
        <f>'Balance Nitrógeno'!R10</f>
        <v>6.1735310713485987E-2</v>
      </c>
      <c r="D11" s="280">
        <f>'Balance Nitrógeno'!S10</f>
        <v>6.0890577000237345E-5</v>
      </c>
      <c r="E11" s="32">
        <f t="shared" si="0"/>
        <v>1.3145869169292765</v>
      </c>
      <c r="F11" s="253">
        <f>'Necesidades energéticas'!S10*Piensos!AJ18</f>
        <v>2.4496310723178634</v>
      </c>
      <c r="G11" s="134">
        <f>'Necesidades energéticas'!S10*Piensos!AK18/1000</f>
        <v>3.0376542608780239E-3</v>
      </c>
      <c r="H11" s="345">
        <f>'Balance Nitrógeno'!T10</f>
        <v>6.6888007032643538E-3</v>
      </c>
      <c r="I11" s="134">
        <f t="shared" si="1"/>
        <v>0.14046481476855144</v>
      </c>
      <c r="J11" s="247">
        <f t="shared" si="2"/>
        <v>3.9046828040156911</v>
      </c>
      <c r="K11" s="35">
        <f t="shared" si="3"/>
        <v>1.9421036061475924E-2</v>
      </c>
    </row>
    <row r="12" spans="1:11">
      <c r="A12" s="138" t="s">
        <v>17</v>
      </c>
      <c r="B12" s="253">
        <f>'Balance Nitrógeno'!Q11</f>
        <v>3.9512302481411006E-3</v>
      </c>
      <c r="C12" s="280">
        <f>'Balance Nitrógeno'!R11</f>
        <v>1.7067054115560212E-2</v>
      </c>
      <c r="D12" s="280">
        <f>'Balance Nitrógeno'!S11</f>
        <v>2.6409178990890043E-6</v>
      </c>
      <c r="E12" s="32">
        <f t="shared" si="0"/>
        <v>0.35919512996069297</v>
      </c>
      <c r="F12" s="253">
        <f>'Necesidades energéticas'!S11*Piensos!AA18</f>
        <v>0.79862009754117547</v>
      </c>
      <c r="G12" s="134">
        <f>'Necesidades energéticas'!S11*Piensos!AB18/1000</f>
        <v>1.3177067554312133E-3</v>
      </c>
      <c r="H12" s="345">
        <f>'Balance Nitrógeno'!T11</f>
        <v>1.3587068593001973E-3</v>
      </c>
      <c r="I12" s="134">
        <f t="shared" si="1"/>
        <v>2.8532844045304144E-2</v>
      </c>
      <c r="J12" s="247">
        <f t="shared" si="2"/>
        <v>1.1863480715471726</v>
      </c>
      <c r="K12" s="35">
        <f t="shared" si="3"/>
        <v>5.2689370035723139E-3</v>
      </c>
    </row>
    <row r="13" spans="1:11" ht="15.75" thickBot="1">
      <c r="A13" s="139" t="s">
        <v>16</v>
      </c>
      <c r="B13" s="254">
        <f>'Balance Nitrógeno'!Q12</f>
        <v>2.1018231039134104E-2</v>
      </c>
      <c r="C13" s="281">
        <f>'Balance Nitrógeno'!R12</f>
        <v>8.8676719751965991E-2</v>
      </c>
      <c r="D13" s="281">
        <f>'Balance Nitrógeno'!S12</f>
        <v>2.3655449934930377E-5</v>
      </c>
      <c r="E13" s="32">
        <f t="shared" si="0"/>
        <v>1.8692604388718952</v>
      </c>
      <c r="F13" s="254">
        <f>'Necesidades energéticas'!S12*Piensos!AJ18</f>
        <v>3.5186548117297578</v>
      </c>
      <c r="G13" s="160">
        <f>'Necesidades energéticas'!S12*Piensos!AK18/1000</f>
        <v>4.3632924574623175E-3</v>
      </c>
      <c r="H13" s="346">
        <f>'Balance Nitrógeno'!T12</f>
        <v>9.0587887701812347E-3</v>
      </c>
      <c r="I13" s="134">
        <f t="shared" si="1"/>
        <v>0.19023456417380594</v>
      </c>
      <c r="J13" s="247">
        <f t="shared" si="2"/>
        <v>5.5781498147754585</v>
      </c>
      <c r="K13" s="35">
        <f t="shared" si="3"/>
        <v>2.538152349659642E-2</v>
      </c>
    </row>
    <row r="14" spans="1:11" ht="16.5" thickTop="1" thickBot="1">
      <c r="A14" s="287" t="s">
        <v>174</v>
      </c>
      <c r="B14" s="288">
        <f>SUM(B3:B13)</f>
        <v>25.699141556032281</v>
      </c>
      <c r="C14" s="350">
        <f t="shared" ref="C14" si="4">SUM(C3:C13)</f>
        <v>102.53668189578566</v>
      </c>
      <c r="D14" s="349">
        <f t="shared" ref="D14:K14" si="5">SUM(D3:D13)</f>
        <v>2.2273599717793278E-2</v>
      </c>
      <c r="E14" s="250">
        <f t="shared" si="5"/>
        <v>2159.9078525274012</v>
      </c>
      <c r="F14" s="254">
        <f t="shared" si="5"/>
        <v>5311.2595903501842</v>
      </c>
      <c r="G14" s="282">
        <f t="shared" si="5"/>
        <v>10.748165895391089</v>
      </c>
      <c r="H14" s="352">
        <f t="shared" si="5"/>
        <v>7.8640798382595225</v>
      </c>
      <c r="I14" s="250">
        <f t="shared" si="5"/>
        <v>165.14567660345</v>
      </c>
      <c r="J14" s="288">
        <f t="shared" si="5"/>
        <v>7636.313119481033</v>
      </c>
      <c r="K14" s="145">
        <f t="shared" si="5"/>
        <v>36.44730745142337</v>
      </c>
    </row>
    <row r="15" spans="1:11" ht="15.75" thickTop="1"/>
    <row r="23" spans="7:9">
      <c r="I23" s="264"/>
    </row>
    <row r="27" spans="7:9">
      <c r="G27" s="3"/>
    </row>
  </sheetData>
  <mergeCells count="6">
    <mergeCell ref="K1:K2"/>
    <mergeCell ref="J1:J2"/>
    <mergeCell ref="A1:A2"/>
    <mergeCell ref="B1:E1"/>
    <mergeCell ref="F1:G1"/>
    <mergeCell ref="H1:I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G74"/>
  <sheetViews>
    <sheetView tabSelected="1" topLeftCell="A2" workbookViewId="0">
      <selection activeCell="O25" sqref="O25"/>
    </sheetView>
  </sheetViews>
  <sheetFormatPr baseColWidth="10" defaultRowHeight="15"/>
  <cols>
    <col min="1" max="1" width="4.85546875" customWidth="1"/>
    <col min="2" max="2" width="13.85546875" customWidth="1"/>
    <col min="3" max="3" width="11.5703125" customWidth="1"/>
    <col min="4" max="4" width="14.140625" customWidth="1"/>
    <col min="5" max="5" width="18.5703125" customWidth="1"/>
    <col min="6" max="6" width="5.28515625" customWidth="1"/>
    <col min="7" max="7" width="17.140625" customWidth="1"/>
    <col min="8" max="8" width="5.42578125" customWidth="1"/>
    <col min="9" max="9" width="18.85546875" customWidth="1"/>
    <col min="10" max="10" width="5.85546875" customWidth="1"/>
    <col min="11" max="11" width="9.28515625" customWidth="1"/>
    <col min="12" max="12" width="13.5703125" customWidth="1"/>
    <col min="13" max="13" width="14" customWidth="1"/>
  </cols>
  <sheetData>
    <row r="1" spans="1:85" ht="24.7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</row>
    <row r="2" spans="1:85" ht="15.75" thickBot="1">
      <c r="A2" s="11"/>
      <c r="B2" s="11"/>
      <c r="C2" s="11"/>
      <c r="D2" s="11"/>
      <c r="E2" s="11"/>
      <c r="F2" s="11"/>
      <c r="G2" s="11"/>
      <c r="H2" s="11"/>
      <c r="I2" s="11"/>
      <c r="J2" s="11"/>
      <c r="K2" s="16"/>
      <c r="L2" s="16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</row>
    <row r="3" spans="1:85" ht="15.75">
      <c r="A3" s="11"/>
      <c r="B3" s="443" t="s">
        <v>179</v>
      </c>
      <c r="C3" s="444"/>
      <c r="D3" s="11"/>
      <c r="E3" s="11"/>
      <c r="F3" s="11"/>
      <c r="G3" s="11"/>
      <c r="H3" s="11"/>
      <c r="I3" s="11"/>
      <c r="J3" s="11"/>
      <c r="K3" s="443" t="s">
        <v>178</v>
      </c>
      <c r="L3" s="444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</row>
    <row r="4" spans="1:85" ht="15.75" thickBot="1">
      <c r="A4" s="11"/>
      <c r="B4" s="159">
        <f>'Necesidades energéticas'!R19</f>
        <v>4160.5758783526608</v>
      </c>
      <c r="C4" s="15" t="s">
        <v>36</v>
      </c>
      <c r="D4" s="11"/>
      <c r="E4" s="11"/>
      <c r="F4" s="11"/>
      <c r="G4" s="11"/>
      <c r="H4" s="11"/>
      <c r="I4" s="11"/>
      <c r="J4" s="11"/>
      <c r="K4" s="445">
        <f>Datos!B3</f>
        <v>1000</v>
      </c>
      <c r="L4" s="446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</row>
    <row r="5" spans="1:85" ht="15.75" thickBot="1">
      <c r="A5" s="11"/>
      <c r="B5" s="11"/>
      <c r="C5" s="11"/>
      <c r="D5" s="11"/>
      <c r="E5" s="11"/>
      <c r="F5" s="11"/>
      <c r="G5" s="11"/>
      <c r="H5" s="11"/>
      <c r="I5" s="11"/>
      <c r="J5" s="11"/>
      <c r="K5" s="16"/>
      <c r="L5" s="16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</row>
    <row r="6" spans="1:85" ht="16.5" customHeight="1" thickTop="1" thickBot="1">
      <c r="A6" s="11"/>
      <c r="B6" s="11"/>
      <c r="C6" s="11"/>
      <c r="D6" s="11"/>
      <c r="E6" s="11"/>
      <c r="F6" s="11"/>
      <c r="G6" s="11"/>
      <c r="H6" s="11"/>
      <c r="I6" s="11"/>
      <c r="J6" s="11"/>
      <c r="K6" s="447" t="s">
        <v>182</v>
      </c>
      <c r="L6" s="355" t="s">
        <v>175</v>
      </c>
      <c r="M6" s="361">
        <f>Emisiones!F14</f>
        <v>5311.2595903501842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</row>
    <row r="7" spans="1:85" ht="18.75">
      <c r="A7" s="11"/>
      <c r="B7" s="443" t="s">
        <v>180</v>
      </c>
      <c r="C7" s="444"/>
      <c r="D7" s="11"/>
      <c r="E7" s="11"/>
      <c r="F7" s="11"/>
      <c r="G7" s="11"/>
      <c r="H7" s="11"/>
      <c r="I7" s="11"/>
      <c r="J7" s="11"/>
      <c r="K7" s="448"/>
      <c r="L7" s="356" t="s">
        <v>176</v>
      </c>
      <c r="M7" s="362">
        <f>Emisiones!I14</f>
        <v>165.14567660345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</row>
    <row r="8" spans="1:85" ht="15.75" customHeight="1" thickBot="1">
      <c r="A8" s="11"/>
      <c r="B8" s="159">
        <f>SUM('Balance Nitrógeno'!J2:J12)</f>
        <v>109.61791239568315</v>
      </c>
      <c r="C8" s="79" t="s">
        <v>36</v>
      </c>
      <c r="D8" s="11"/>
      <c r="E8" s="11"/>
      <c r="F8" s="11"/>
      <c r="G8" s="11"/>
      <c r="H8" s="11"/>
      <c r="I8" s="11"/>
      <c r="J8" s="11"/>
      <c r="K8" s="448"/>
      <c r="L8" s="357" t="s">
        <v>177</v>
      </c>
      <c r="M8" s="363">
        <f>Emisiones!E14</f>
        <v>2159.9078525274012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</row>
    <row r="9" spans="1:85" ht="17.25" thickTop="1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449"/>
      <c r="L9" s="358" t="s">
        <v>113</v>
      </c>
      <c r="M9" s="363">
        <f>SUM(M6:M8)</f>
        <v>7636.3131194810358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</row>
    <row r="10" spans="1:85" ht="16.5" thickTop="1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353"/>
      <c r="L10" s="11"/>
      <c r="M10" s="36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</row>
    <row r="11" spans="1:85" ht="16.5" customHeight="1" thickTop="1">
      <c r="A11" s="11"/>
      <c r="B11" s="443" t="s">
        <v>68</v>
      </c>
      <c r="C11" s="444"/>
      <c r="E11" s="11"/>
      <c r="F11" s="11"/>
      <c r="G11" s="11"/>
      <c r="H11" s="11"/>
      <c r="I11" s="11"/>
      <c r="J11" s="11"/>
      <c r="K11" s="447" t="s">
        <v>183</v>
      </c>
      <c r="L11" s="355" t="s">
        <v>175</v>
      </c>
      <c r="M11" s="361">
        <f>Emisiones!G14</f>
        <v>10.748165895391089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</row>
    <row r="12" spans="1:85" ht="16.5" customHeight="1" thickBot="1">
      <c r="A12" s="11"/>
      <c r="B12" s="159">
        <f>'Necesidades energéticas'!R18</f>
        <v>49981.221574917538</v>
      </c>
      <c r="C12" s="15" t="s">
        <v>67</v>
      </c>
      <c r="D12" s="11"/>
      <c r="E12" s="11"/>
      <c r="F12" s="11"/>
      <c r="G12" s="11"/>
      <c r="H12" s="11"/>
      <c r="I12" s="11"/>
      <c r="J12" s="11"/>
      <c r="K12" s="448"/>
      <c r="L12" s="357" t="s">
        <v>177</v>
      </c>
      <c r="M12" s="363">
        <f>Emisiones!B14</f>
        <v>25.699141556032281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</row>
    <row r="13" spans="1:85" ht="15" customHeight="1" thickTop="1" thickBo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449"/>
      <c r="L13" s="358" t="s">
        <v>113</v>
      </c>
      <c r="M13" s="363">
        <f>SUM(M10:M12)</f>
        <v>36.44730745142337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</row>
    <row r="14" spans="1:85" ht="15.75" customHeight="1" thickTop="1" thickBo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359"/>
      <c r="L14" s="360"/>
      <c r="M14" s="3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</row>
    <row r="15" spans="1:85" ht="15.75">
      <c r="A15" s="11"/>
      <c r="B15" s="443" t="s">
        <v>78</v>
      </c>
      <c r="C15" s="44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</row>
    <row r="16" spans="1:85" ht="15.75" thickBot="1">
      <c r="A16" s="11"/>
      <c r="B16" s="159">
        <f>'Necesidades energéticas'!R20</f>
        <v>1725.2814511214494</v>
      </c>
      <c r="C16" s="15" t="s">
        <v>69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</row>
    <row r="17" spans="1:8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</row>
    <row r="18" spans="1:8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</row>
    <row r="19" spans="1:8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</row>
    <row r="20" spans="1:8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</row>
    <row r="21" spans="1:8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</row>
    <row r="22" spans="1:8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</row>
    <row r="23" spans="1:8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</row>
    <row r="24" spans="1:8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</row>
    <row r="25" spans="1:8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</row>
    <row r="26" spans="1:8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</row>
    <row r="27" spans="1:8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</row>
    <row r="28" spans="1:8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</row>
    <row r="29" spans="1:8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</row>
    <row r="30" spans="1:8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</row>
    <row r="31" spans="1:8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</row>
    <row r="32" spans="1:8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</row>
    <row r="33" spans="1:8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</row>
    <row r="34" spans="1:8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</row>
    <row r="35" spans="1:8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</row>
    <row r="36" spans="1:8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</row>
    <row r="37" spans="1:8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</row>
    <row r="38" spans="1:8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</row>
    <row r="39" spans="1:8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</row>
    <row r="40" spans="1:8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</row>
    <row r="41" spans="1:8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</row>
    <row r="42" spans="1:8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</row>
    <row r="43" spans="1:8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</row>
    <row r="44" spans="1:8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</row>
    <row r="45" spans="1:8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</row>
    <row r="46" spans="1:8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</row>
    <row r="47" spans="1:8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</row>
    <row r="48" spans="1:8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</row>
    <row r="49" spans="1:8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</row>
    <row r="50" spans="1:8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</row>
    <row r="51" spans="1:8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</row>
    <row r="52" spans="1:8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</row>
    <row r="53" spans="1:8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</row>
    <row r="54" spans="1:8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</row>
    <row r="55" spans="1:8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</row>
    <row r="56" spans="1:8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</row>
    <row r="57" spans="1:8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</row>
    <row r="58" spans="1:8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</row>
    <row r="59" spans="1:8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</row>
    <row r="60" spans="1:8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</row>
    <row r="61" spans="1:8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</row>
    <row r="62" spans="1:8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</row>
    <row r="63" spans="1:8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</row>
    <row r="64" spans="1:8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</row>
    <row r="65" spans="1:8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</row>
    <row r="66" spans="1:8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</row>
    <row r="67" spans="1:8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</row>
    <row r="68" spans="1:8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</row>
    <row r="69" spans="1:8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</row>
    <row r="70" spans="1:8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</row>
    <row r="71" spans="1:8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</row>
    <row r="72" spans="1:8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</row>
    <row r="73" spans="1:8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</row>
    <row r="74" spans="1:8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</row>
  </sheetData>
  <dataConsolidate/>
  <mergeCells count="8">
    <mergeCell ref="B15:C15"/>
    <mergeCell ref="B3:C3"/>
    <mergeCell ref="B7:C7"/>
    <mergeCell ref="B11:C11"/>
    <mergeCell ref="K3:L3"/>
    <mergeCell ref="K4:L4"/>
    <mergeCell ref="K6:K9"/>
    <mergeCell ref="K11:K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Datos</vt:lpstr>
      <vt:lpstr>Estructura granja</vt:lpstr>
      <vt:lpstr>Necesidades energéticas</vt:lpstr>
      <vt:lpstr>Piensos</vt:lpstr>
      <vt:lpstr>Ingredientes</vt:lpstr>
      <vt:lpstr>Balance Nitrógeno</vt:lpstr>
      <vt:lpstr>Emisiones</vt:lpstr>
      <vt:lpstr>Resumen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2016-09-17T17:07:33Z</dcterms:modified>
</cp:coreProperties>
</file>