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in solera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1" l="1"/>
  <c r="H4" i="1" l="1"/>
  <c r="H15" i="1"/>
  <c r="B12" i="1"/>
  <c r="H12" i="1"/>
  <c r="B8" i="1"/>
  <c r="H2" i="1"/>
  <c r="E12" i="1"/>
  <c r="E13" i="1" s="1"/>
  <c r="E4" i="1"/>
  <c r="B21" i="1"/>
  <c r="B19" i="1"/>
  <c r="B17" i="1"/>
  <c r="E3" i="1" s="1"/>
  <c r="E6" i="1" s="1"/>
  <c r="E8" i="1"/>
  <c r="H6" i="1" l="1"/>
  <c r="H8" i="1" s="1"/>
  <c r="H3" i="1"/>
  <c r="H5" i="1" s="1"/>
  <c r="K4" i="1" s="1"/>
  <c r="H7" i="1"/>
  <c r="H9" i="1" s="1"/>
  <c r="H11" i="1"/>
  <c r="H14" i="1" s="1"/>
  <c r="H16" i="1"/>
  <c r="E7" i="1"/>
  <c r="B18" i="1"/>
  <c r="E2" i="1"/>
  <c r="E5" i="1" l="1"/>
  <c r="E9" i="1" s="1"/>
  <c r="H10" i="1"/>
  <c r="H13" i="1" s="1"/>
  <c r="H17" i="1" s="1"/>
  <c r="H18" i="1" s="1"/>
  <c r="K2" i="1" l="1"/>
  <c r="K3" i="1" s="1"/>
  <c r="K5" i="1" s="1"/>
</calcChain>
</file>

<file path=xl/sharedStrings.xml><?xml version="1.0" encoding="utf-8"?>
<sst xmlns="http://schemas.openxmlformats.org/spreadsheetml/2006/main" count="65" uniqueCount="56">
  <si>
    <t>h [m]</t>
  </si>
  <si>
    <t>TERRENO</t>
  </si>
  <si>
    <t>Q [kN/m2]</t>
  </si>
  <si>
    <t>ϒsat [kN/m3]</t>
  </si>
  <si>
    <t>cota NF [m]</t>
  </si>
  <si>
    <t>COEFICIENTES</t>
  </si>
  <si>
    <t>ϒq</t>
  </si>
  <si>
    <t>ϒglobal</t>
  </si>
  <si>
    <t>ϒg,fav,res</t>
  </si>
  <si>
    <t>ϒg,desf,res</t>
  </si>
  <si>
    <t>ϒg,fav,vue</t>
  </si>
  <si>
    <t>ϒg,desf,vue</t>
  </si>
  <si>
    <t>ϒha [kN/m3]</t>
  </si>
  <si>
    <t>Nd [kN/m]</t>
  </si>
  <si>
    <t>Md [kNm/m]</t>
  </si>
  <si>
    <t>ϒw [kN/m3]</t>
  </si>
  <si>
    <t>ϕ [º]</t>
  </si>
  <si>
    <t>Ka</t>
  </si>
  <si>
    <t>Kp</t>
  </si>
  <si>
    <t>K0</t>
  </si>
  <si>
    <t>ft [kN/m2]</t>
  </si>
  <si>
    <t>fw [kN/m2]</t>
  </si>
  <si>
    <t>Mq [kNm/m]</t>
  </si>
  <si>
    <t>Mw [kNm/m]</t>
  </si>
  <si>
    <t>Mt [kNm/m]</t>
  </si>
  <si>
    <t>fq [kN/m2]</t>
  </si>
  <si>
    <t>hw [m]</t>
  </si>
  <si>
    <t>e [m]</t>
  </si>
  <si>
    <t>SOLICITACIONES MURO</t>
  </si>
  <si>
    <t>fyk [N/mm2]</t>
  </si>
  <si>
    <t>ρtot (‰)</t>
  </si>
  <si>
    <t>Ucara [kN]</t>
  </si>
  <si>
    <t>ZAPATA</t>
  </si>
  <si>
    <t>cz [m]</t>
  </si>
  <si>
    <t>cm [m]</t>
  </si>
  <si>
    <t>ARMADO HORIZONTAL</t>
  </si>
  <si>
    <t>Nm [kN/m]</t>
  </si>
  <si>
    <t>Nz [kN/m]</t>
  </si>
  <si>
    <t>htot [m]</t>
  </si>
  <si>
    <t>Bz [m]</t>
  </si>
  <si>
    <t>R [kN/m]</t>
  </si>
  <si>
    <t>Btot</t>
  </si>
  <si>
    <t>Mt' [kNm/m]</t>
  </si>
  <si>
    <t>excm [m]</t>
  </si>
  <si>
    <t>exctt [m]</t>
  </si>
  <si>
    <t>Mm</t>
  </si>
  <si>
    <t>Mtt</t>
  </si>
  <si>
    <t>Ntt [kN/m]</t>
  </si>
  <si>
    <t>Btot/6 [m]</t>
  </si>
  <si>
    <t>VUELCO</t>
  </si>
  <si>
    <t>MURO (sin solera)</t>
  </si>
  <si>
    <t>TENSIÓN TERRENO</t>
  </si>
  <si>
    <t>σadm [kN/m2]</t>
  </si>
  <si>
    <t>σmed [kN/m2]</t>
  </si>
  <si>
    <t>σmax [kN/m2]</t>
  </si>
  <si>
    <t>talón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</si>
</sst>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0" fontId="0" fillId="0" borderId="3" xfId="0" applyFill="1" applyBorder="1"/>
    <xf numFmtId="0" fontId="0" fillId="0" borderId="1" xfId="0" applyBorder="1"/>
    <xf numFmtId="0" fontId="1" fillId="0" borderId="0" xfId="0" applyFont="1" applyFill="1" applyBorder="1"/>
    <xf numFmtId="0" fontId="0" fillId="2" borderId="0" xfId="0" applyFill="1"/>
    <xf numFmtId="0" fontId="0" fillId="0" borderId="5" xfId="0" applyBorder="1"/>
    <xf numFmtId="0" fontId="0" fillId="0" borderId="0" xfId="0" applyFill="1"/>
    <xf numFmtId="2" fontId="0" fillId="3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85" zoomScaleNormal="85" workbookViewId="0">
      <selection activeCell="L25" sqref="L25"/>
    </sheetView>
  </sheetViews>
  <sheetFormatPr baseColWidth="10" defaultColWidth="9.140625" defaultRowHeight="15" x14ac:dyDescent="0.25"/>
  <cols>
    <col min="1" max="1" width="12.28515625" customWidth="1"/>
    <col min="2" max="2" width="11.85546875" bestFit="1" customWidth="1"/>
  </cols>
  <sheetData>
    <row r="1" spans="1:11" x14ac:dyDescent="0.25">
      <c r="A1" t="s">
        <v>50</v>
      </c>
      <c r="D1" t="s">
        <v>28</v>
      </c>
      <c r="G1" t="s">
        <v>49</v>
      </c>
      <c r="J1" t="s">
        <v>51</v>
      </c>
    </row>
    <row r="2" spans="1:11" x14ac:dyDescent="0.25">
      <c r="A2" t="s">
        <v>34</v>
      </c>
      <c r="B2" s="2">
        <v>0.25</v>
      </c>
      <c r="D2" t="s">
        <v>25</v>
      </c>
      <c r="E2" s="5">
        <f>B14*B17</f>
        <v>3.333333333333333</v>
      </c>
      <c r="G2" t="s">
        <v>36</v>
      </c>
      <c r="H2">
        <f>B2*B3*B4</f>
        <v>12.5</v>
      </c>
      <c r="J2" t="s">
        <v>14</v>
      </c>
      <c r="K2" s="5">
        <f>H8+H9+H13+H14+H15+H16</f>
        <v>-0.2708333333333357</v>
      </c>
    </row>
    <row r="3" spans="1:11" x14ac:dyDescent="0.25">
      <c r="A3" t="s">
        <v>0</v>
      </c>
      <c r="B3" s="3">
        <v>2</v>
      </c>
      <c r="D3" t="s">
        <v>20</v>
      </c>
      <c r="E3" s="5">
        <f>B15*B3*B17</f>
        <v>12</v>
      </c>
      <c r="G3" t="s">
        <v>37</v>
      </c>
      <c r="H3">
        <f>B4*B7*B11</f>
        <v>31.25</v>
      </c>
      <c r="J3" t="s">
        <v>27</v>
      </c>
      <c r="K3">
        <f>K2/H5</f>
        <v>-3.8280329799764761E-3</v>
      </c>
    </row>
    <row r="4" spans="1:11" x14ac:dyDescent="0.25">
      <c r="A4" t="s">
        <v>12</v>
      </c>
      <c r="B4">
        <v>25</v>
      </c>
      <c r="D4" t="s">
        <v>21</v>
      </c>
      <c r="E4" s="5">
        <f>IF(B20&lt;B3,B5*B21,0)</f>
        <v>0</v>
      </c>
      <c r="G4" t="s">
        <v>47</v>
      </c>
      <c r="H4">
        <f>B15*B3*B10</f>
        <v>27</v>
      </c>
      <c r="J4" s="8" t="s">
        <v>53</v>
      </c>
      <c r="K4" s="5">
        <f>H5/B11</f>
        <v>28.3</v>
      </c>
    </row>
    <row r="5" spans="1:11" x14ac:dyDescent="0.25">
      <c r="A5" t="s">
        <v>15</v>
      </c>
      <c r="B5">
        <v>10</v>
      </c>
      <c r="D5" t="s">
        <v>22</v>
      </c>
      <c r="E5" s="5">
        <f>E2*B3^2/2</f>
        <v>6.6666666666666661</v>
      </c>
      <c r="G5" t="s">
        <v>40</v>
      </c>
      <c r="H5">
        <f>H2+H3+H4</f>
        <v>70.75</v>
      </c>
      <c r="J5" s="8" t="s">
        <v>54</v>
      </c>
      <c r="K5" s="5">
        <f>K4*(1+6*ABS(K3)/B11)</f>
        <v>28.560000000000006</v>
      </c>
    </row>
    <row r="6" spans="1:11" x14ac:dyDescent="0.25">
      <c r="A6" t="s">
        <v>32</v>
      </c>
      <c r="D6" t="s">
        <v>24</v>
      </c>
      <c r="E6" s="5">
        <f>E3*B3^2/6</f>
        <v>8</v>
      </c>
      <c r="G6" t="s">
        <v>43</v>
      </c>
      <c r="H6">
        <f>B11/2-B10-B2/2</f>
        <v>0.375</v>
      </c>
    </row>
    <row r="7" spans="1:11" x14ac:dyDescent="0.25">
      <c r="A7" t="s">
        <v>33</v>
      </c>
      <c r="B7" s="7">
        <v>0.5</v>
      </c>
      <c r="D7" t="s">
        <v>23</v>
      </c>
      <c r="E7" s="5">
        <f>E4*B21^2/6</f>
        <v>0</v>
      </c>
      <c r="G7" t="s">
        <v>44</v>
      </c>
      <c r="H7">
        <f>B11/2-B10/2</f>
        <v>0.875</v>
      </c>
    </row>
    <row r="8" spans="1:11" ht="15.75" thickBot="1" x14ac:dyDescent="0.3">
      <c r="A8" t="s">
        <v>38</v>
      </c>
      <c r="B8">
        <f>B3+B7</f>
        <v>2.5</v>
      </c>
      <c r="D8" t="s">
        <v>13</v>
      </c>
      <c r="E8" s="9">
        <f>B26*B4*B3*B2</f>
        <v>10</v>
      </c>
      <c r="G8" t="s">
        <v>45</v>
      </c>
      <c r="H8" s="5">
        <f>-H2*H6</f>
        <v>-4.6875</v>
      </c>
    </row>
    <row r="9" spans="1:11" ht="15.75" thickBot="1" x14ac:dyDescent="0.3">
      <c r="A9" t="s">
        <v>39</v>
      </c>
      <c r="B9" s="10">
        <v>1.5</v>
      </c>
      <c r="D9" t="s">
        <v>14</v>
      </c>
      <c r="E9" s="9">
        <f>B27*(E6+E7)+B30*E5</f>
        <v>20.8</v>
      </c>
      <c r="G9" t="s">
        <v>46</v>
      </c>
      <c r="H9">
        <f>-H4*H7</f>
        <v>-23.625</v>
      </c>
    </row>
    <row r="10" spans="1:11" x14ac:dyDescent="0.25">
      <c r="A10" t="s">
        <v>55</v>
      </c>
      <c r="B10">
        <v>0.75</v>
      </c>
      <c r="D10" t="s">
        <v>35</v>
      </c>
      <c r="G10" t="s">
        <v>25</v>
      </c>
      <c r="H10" s="5">
        <f>E2</f>
        <v>3.333333333333333</v>
      </c>
    </row>
    <row r="11" spans="1:11" x14ac:dyDescent="0.25">
      <c r="A11" t="s">
        <v>41</v>
      </c>
      <c r="B11">
        <f>B9+B10+B2</f>
        <v>2.5</v>
      </c>
      <c r="D11" t="s">
        <v>29</v>
      </c>
      <c r="E11" s="7">
        <v>400</v>
      </c>
      <c r="G11" t="s">
        <v>20</v>
      </c>
      <c r="H11" s="5">
        <f>B15*B8*B17</f>
        <v>15</v>
      </c>
    </row>
    <row r="12" spans="1:11" x14ac:dyDescent="0.25">
      <c r="A12" t="s">
        <v>48</v>
      </c>
      <c r="B12" s="12">
        <f>B11/6</f>
        <v>0.41666666666666669</v>
      </c>
      <c r="D12" s="1" t="s">
        <v>30</v>
      </c>
      <c r="E12">
        <f>IF(E11=400,4,3.2)</f>
        <v>4</v>
      </c>
      <c r="G12" t="s">
        <v>21</v>
      </c>
      <c r="H12" s="5">
        <f>IF(B20&lt;B3,B5*(B21+B7),0)</f>
        <v>0</v>
      </c>
    </row>
    <row r="13" spans="1:11" x14ac:dyDescent="0.25">
      <c r="A13" t="s">
        <v>1</v>
      </c>
      <c r="D13" s="1" t="s">
        <v>31</v>
      </c>
      <c r="E13" s="13">
        <f>E12*B2*E11/1.15/2</f>
        <v>173.91304347826087</v>
      </c>
      <c r="G13" t="s">
        <v>22</v>
      </c>
      <c r="H13" s="5">
        <f>H10*B8^2/2</f>
        <v>10.416666666666666</v>
      </c>
    </row>
    <row r="14" spans="1:11" x14ac:dyDescent="0.25">
      <c r="A14" t="s">
        <v>2</v>
      </c>
      <c r="B14" s="2">
        <v>10</v>
      </c>
      <c r="G14" t="s">
        <v>24</v>
      </c>
      <c r="H14" s="5">
        <f>H11*B8^2/6</f>
        <v>15.625</v>
      </c>
    </row>
    <row r="15" spans="1:11" x14ac:dyDescent="0.25">
      <c r="A15" s="1" t="s">
        <v>3</v>
      </c>
      <c r="B15" s="4">
        <v>18</v>
      </c>
      <c r="G15" t="s">
        <v>42</v>
      </c>
      <c r="H15">
        <f>B7^2*B15*(B18-B17)/6</f>
        <v>2</v>
      </c>
    </row>
    <row r="16" spans="1:11" x14ac:dyDescent="0.25">
      <c r="A16" s="1" t="s">
        <v>16</v>
      </c>
      <c r="B16" s="6">
        <v>30</v>
      </c>
      <c r="G16" t="s">
        <v>23</v>
      </c>
      <c r="H16" s="5">
        <f>H12*(B21+B7)^2/6</f>
        <v>0</v>
      </c>
    </row>
    <row r="17" spans="1:8" x14ac:dyDescent="0.25">
      <c r="A17" s="1" t="s">
        <v>17</v>
      </c>
      <c r="B17" s="5">
        <f>(1-SIN(RADIANS(B16)))/(1+SIN(RADIANS(B16)))</f>
        <v>0.33333333333333331</v>
      </c>
      <c r="G17" t="s">
        <v>14</v>
      </c>
      <c r="H17">
        <f>(H8+H9)*B28+(H13+H14+H16+H15)*B29</f>
        <v>24.993749999999995</v>
      </c>
    </row>
    <row r="18" spans="1:8" x14ac:dyDescent="0.25">
      <c r="A18" s="1" t="s">
        <v>18</v>
      </c>
      <c r="B18" s="5">
        <f>1/B17</f>
        <v>3</v>
      </c>
      <c r="G18" t="s">
        <v>27</v>
      </c>
      <c r="H18" s="11">
        <f>H17/H5</f>
        <v>0.35326855123674905</v>
      </c>
    </row>
    <row r="19" spans="1:8" x14ac:dyDescent="0.25">
      <c r="A19" s="1" t="s">
        <v>19</v>
      </c>
      <c r="B19" s="5">
        <f>1-SIN(RADIANS(B16))</f>
        <v>0.5</v>
      </c>
    </row>
    <row r="20" spans="1:8" x14ac:dyDescent="0.25">
      <c r="A20" s="1" t="s">
        <v>4</v>
      </c>
      <c r="B20" s="7">
        <v>10</v>
      </c>
    </row>
    <row r="21" spans="1:8" x14ac:dyDescent="0.25">
      <c r="A21" s="8" t="s">
        <v>26</v>
      </c>
      <c r="B21">
        <f>IF(B20&lt;B3,B3-B20,0)</f>
        <v>0</v>
      </c>
    </row>
    <row r="22" spans="1:8" x14ac:dyDescent="0.25">
      <c r="A22" s="8" t="s">
        <v>52</v>
      </c>
      <c r="B22">
        <v>200</v>
      </c>
    </row>
    <row r="25" spans="1:8" x14ac:dyDescent="0.25">
      <c r="A25" t="s">
        <v>5</v>
      </c>
    </row>
    <row r="26" spans="1:8" x14ac:dyDescent="0.25">
      <c r="A26" t="s">
        <v>8</v>
      </c>
      <c r="B26">
        <v>0.8</v>
      </c>
    </row>
    <row r="27" spans="1:8" x14ac:dyDescent="0.25">
      <c r="A27" t="s">
        <v>9</v>
      </c>
      <c r="B27">
        <v>1.35</v>
      </c>
    </row>
    <row r="28" spans="1:8" x14ac:dyDescent="0.25">
      <c r="A28" t="s">
        <v>10</v>
      </c>
      <c r="B28">
        <v>0.9</v>
      </c>
    </row>
    <row r="29" spans="1:8" x14ac:dyDescent="0.25">
      <c r="A29" t="s">
        <v>11</v>
      </c>
      <c r="B29">
        <v>1.8</v>
      </c>
    </row>
    <row r="30" spans="1:8" x14ac:dyDescent="0.25">
      <c r="A30" t="s">
        <v>6</v>
      </c>
      <c r="B30">
        <v>1.5</v>
      </c>
    </row>
    <row r="31" spans="1:8" x14ac:dyDescent="0.25">
      <c r="A31" t="s">
        <v>7</v>
      </c>
      <c r="B31">
        <v>1.4</v>
      </c>
    </row>
  </sheetData>
  <conditionalFormatting sqref="H18">
    <cfRule type="cellIs" dxfId="16" priority="14" operator="equal">
      <formula>$B$12</formula>
    </cfRule>
    <cfRule type="cellIs" dxfId="15" priority="15" operator="greaterThan">
      <formula>$B$12</formula>
    </cfRule>
    <cfRule type="cellIs" dxfId="14" priority="16" operator="lessThan">
      <formula>$B$12</formula>
    </cfRule>
  </conditionalFormatting>
  <conditionalFormatting sqref="K4">
    <cfRule type="cellIs" dxfId="13" priority="7" operator="greaterThan">
      <formula>$B$22</formula>
    </cfRule>
    <cfRule type="cellIs" dxfId="12" priority="6" operator="lessThan">
      <formula>$B$22</formula>
    </cfRule>
    <cfRule type="cellIs" dxfId="11" priority="5" operator="equal">
      <formula>$B$22</formula>
    </cfRule>
  </conditionalFormatting>
  <conditionalFormatting sqref="K5">
    <cfRule type="cellIs" dxfId="0" priority="3" operator="greaterThan">
      <formula>"1.25*$B$22"</formula>
    </cfRule>
    <cfRule type="cellIs" dxfId="1" priority="2" operator="lessThan">
      <formula>"1.25*$B$22"</formula>
    </cfRule>
    <cfRule type="cellIs" dxfId="2" priority="1" operator="equal">
      <formula>"1.25*$B$22"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 solera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2012-11-10T14:58:55Z</dcterms:modified>
</cp:coreProperties>
</file>