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infills" sheetId="3" r:id="rId1"/>
  </sheets>
  <calcPr calcId="145621"/>
</workbook>
</file>

<file path=xl/calcChain.xml><?xml version="1.0" encoding="utf-8"?>
<calcChain xmlns="http://schemas.openxmlformats.org/spreadsheetml/2006/main">
  <c r="B8" i="3" l="1"/>
  <c r="H2" i="3"/>
  <c r="I2" i="3"/>
  <c r="J2" i="3" s="1"/>
  <c r="P2" i="3"/>
  <c r="S2" i="3"/>
  <c r="AB2" i="3"/>
  <c r="AG2" i="3"/>
  <c r="AH2" i="3" s="1"/>
  <c r="AD2" i="3" l="1"/>
  <c r="AF2" i="3" s="1"/>
  <c r="T2" i="3"/>
  <c r="AI2" i="3"/>
  <c r="AO2" i="3" s="1"/>
  <c r="AK2" i="3"/>
  <c r="B3" i="3"/>
  <c r="U2" i="3" s="1"/>
  <c r="V2" i="3" s="1"/>
  <c r="W2" i="3" s="1"/>
  <c r="X2" i="3" s="1"/>
  <c r="AJ2" i="3" l="1"/>
  <c r="AU2" i="3" s="1"/>
  <c r="AR2" i="3"/>
  <c r="AA2" i="3"/>
  <c r="AC2" i="3" s="1"/>
  <c r="AE2" i="3" s="1"/>
  <c r="AL2" i="3" s="1"/>
  <c r="Y2" i="3"/>
  <c r="Z2" i="3" s="1"/>
  <c r="AM2" i="3"/>
  <c r="AS2" i="3"/>
  <c r="AP2" i="3"/>
  <c r="AN2" i="3" l="1"/>
  <c r="AW2" i="3" s="1"/>
  <c r="AV2" i="3"/>
  <c r="AQ2" i="3"/>
  <c r="AT2" i="3"/>
</calcChain>
</file>

<file path=xl/sharedStrings.xml><?xml version="1.0" encoding="utf-8"?>
<sst xmlns="http://schemas.openxmlformats.org/spreadsheetml/2006/main" count="60" uniqueCount="60">
  <si>
    <t>type</t>
  </si>
  <si>
    <t>A</t>
  </si>
  <si>
    <t>ID</t>
  </si>
  <si>
    <t>Lw (m)</t>
  </si>
  <si>
    <t>hw (m)</t>
  </si>
  <si>
    <t>short</t>
  </si>
  <si>
    <t>01_02</t>
  </si>
  <si>
    <t>on RC wall</t>
  </si>
  <si>
    <t>*</t>
  </si>
  <si>
    <t>tw (m)</t>
  </si>
  <si>
    <t>Bcol1 (cm)</t>
  </si>
  <si>
    <t>Hcol1 (cm)</t>
  </si>
  <si>
    <t>Bcol2 (cm)</t>
  </si>
  <si>
    <t>Hcol2 (cm)</t>
  </si>
  <si>
    <t>Icol (mm4)</t>
  </si>
  <si>
    <t>Icol1 (cm4)</t>
  </si>
  <si>
    <t>Icol2 (cm4)</t>
  </si>
  <si>
    <t>RC PROPERTIES</t>
  </si>
  <si>
    <t>fc (N/mm2)</t>
  </si>
  <si>
    <t>Ew (N/mm2)</t>
  </si>
  <si>
    <t>Ec (N/mm2)</t>
  </si>
  <si>
    <t>INFILL PROPERTIES</t>
  </si>
  <si>
    <t>dw (m)</t>
  </si>
  <si>
    <r>
      <rPr>
        <sz val="11"/>
        <color theme="1"/>
        <rFont val="Calibri"/>
        <family val="2"/>
      </rPr>
      <t>ϴ</t>
    </r>
    <r>
      <rPr>
        <sz val="9.35"/>
        <color theme="1"/>
        <rFont val="Calibri"/>
        <family val="2"/>
      </rPr>
      <t xml:space="preserve"> (rad)</t>
    </r>
  </si>
  <si>
    <t>z (mm)</t>
  </si>
  <si>
    <t>z/2 (mm)</t>
  </si>
  <si>
    <t>τ0 (N/mm2)</t>
  </si>
  <si>
    <t>αc</t>
  </si>
  <si>
    <t>bw/dw</t>
  </si>
  <si>
    <t>Kel (N/mm)</t>
  </si>
  <si>
    <t>Ksec (N/mm)</t>
  </si>
  <si>
    <t>kel (N/mm)</t>
  </si>
  <si>
    <t>ksec (N/mm)</t>
  </si>
  <si>
    <t>Gw (N/mm2)</t>
  </si>
  <si>
    <t>νw</t>
  </si>
  <si>
    <t>λh</t>
  </si>
  <si>
    <t>λh'</t>
  </si>
  <si>
    <t>Vcr (kN)</t>
  </si>
  <si>
    <t>Vmax (kN)</t>
  </si>
  <si>
    <t>Fcr (kN)</t>
  </si>
  <si>
    <t>dcr (mm)</t>
  </si>
  <si>
    <t>Fmax (kN)</t>
  </si>
  <si>
    <t>dmax (mm)</t>
  </si>
  <si>
    <t>Fu/Fmax</t>
  </si>
  <si>
    <t>Fu (kN)</t>
  </si>
  <si>
    <t>du (mm)</t>
  </si>
  <si>
    <t>cosϴ</t>
  </si>
  <si>
    <t>kresidual/kel</t>
  </si>
  <si>
    <t>F1cr (kN)</t>
  </si>
  <si>
    <t>F1max (kN)</t>
  </si>
  <si>
    <t>F1u (kN)</t>
  </si>
  <si>
    <t>F2cr (kN)</t>
  </si>
  <si>
    <t>F2max (kN)</t>
  </si>
  <si>
    <t>F2u (kN)</t>
  </si>
  <si>
    <t>Eeff (N/mm2)</t>
  </si>
  <si>
    <t>Dcr (mm)</t>
  </si>
  <si>
    <t>Du (mm)</t>
  </si>
  <si>
    <t>Dmax (mm)</t>
  </si>
  <si>
    <t>0.5kel (N/mm)</t>
  </si>
  <si>
    <t>virt. Col.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</si>
</sst>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E+00"/>
    <numFmt numFmtId="165" formatCode="0.0000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16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2" fontId="0" fillId="2" borderId="0" xfId="0" applyNumberFormat="1" applyFill="1"/>
    <xf numFmtId="0" fontId="0" fillId="0" borderId="0" xfId="0" applyFill="1"/>
    <xf numFmtId="1" fontId="0" fillId="0" borderId="0" xfId="0" applyNumberFormat="1" applyFill="1"/>
    <xf numFmtId="166" fontId="0" fillId="0" borderId="0" xfId="0" applyNumberFormat="1"/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0" fontId="1" fillId="0" borderId="3" xfId="0" applyFont="1" applyBorder="1"/>
    <xf numFmtId="0" fontId="1" fillId="0" borderId="7" xfId="0" applyFont="1" applyBorder="1"/>
    <xf numFmtId="0" fontId="0" fillId="0" borderId="8" xfId="0" applyNumberFormat="1" applyBorder="1"/>
    <xf numFmtId="0" fontId="1" fillId="0" borderId="5" xfId="0" applyFont="1" applyBorder="1"/>
    <xf numFmtId="0" fontId="0" fillId="0" borderId="4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9" xfId="0" applyBorder="1"/>
    <xf numFmtId="2" fontId="0" fillId="0" borderId="10" xfId="0" applyNumberFormat="1" applyBorder="1"/>
    <xf numFmtId="0" fontId="0" fillId="0" borderId="10" xfId="0" applyBorder="1"/>
    <xf numFmtId="0" fontId="0" fillId="0" borderId="6" xfId="0" applyBorder="1"/>
    <xf numFmtId="1" fontId="0" fillId="3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(infills!$BB$1,infills!$AJ$2,infills!$AL$2,infills!$AN$2)</c:f>
              <c:numCache>
                <c:formatCode>0.00</c:formatCode>
                <c:ptCount val="4"/>
                <c:pt idx="0" formatCode="General">
                  <c:v>0</c:v>
                </c:pt>
                <c:pt idx="1">
                  <c:v>0.66693894222086758</c:v>
                </c:pt>
                <c:pt idx="2">
                  <c:v>5.6409522908206169</c:v>
                </c:pt>
                <c:pt idx="3">
                  <c:v>14.311158539691895</c:v>
                </c:pt>
              </c:numCache>
            </c:numRef>
          </c:xVal>
          <c:yVal>
            <c:numRef>
              <c:f>(infills!$BA$1,infills!$AI$2,infills!$AK$2,infills!$AM$2)</c:f>
              <c:numCache>
                <c:formatCode>0</c:formatCode>
                <c:ptCount val="4"/>
                <c:pt idx="0" formatCode="General">
                  <c:v>0</c:v>
                </c:pt>
                <c:pt idx="1">
                  <c:v>285.71664284741973</c:v>
                </c:pt>
                <c:pt idx="2">
                  <c:v>371.43163570164563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50848"/>
        <c:axId val="40352768"/>
      </c:scatterChart>
      <c:valAx>
        <c:axId val="40350848"/>
        <c:scaling>
          <c:orientation val="minMax"/>
          <c:max val="3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</a:t>
                </a:r>
                <a:r>
                  <a:rPr lang="en-US" baseline="0"/>
                  <a:t> [mm]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0352768"/>
        <c:crosses val="autoZero"/>
        <c:crossBetween val="midCat"/>
      </c:valAx>
      <c:valAx>
        <c:axId val="40352768"/>
        <c:scaling>
          <c:orientation val="minMax"/>
          <c:max val="8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 [kN]</a:t>
                </a:r>
              </a:p>
            </c:rich>
          </c:tx>
          <c:layout>
            <c:manualLayout>
              <c:xMode val="edge"/>
              <c:yMode val="edge"/>
              <c:x val="1.1634907593334633E-2"/>
              <c:y val="0.4005059212430555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035084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14</xdr:col>
      <xdr:colOff>374816</xdr:colOff>
      <xdr:row>36</xdr:row>
      <xdr:rowOff>13607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tabSelected="1" zoomScale="70" zoomScaleNormal="70" workbookViewId="0">
      <selection activeCell="S13" sqref="S13"/>
    </sheetView>
  </sheetViews>
  <sheetFormatPr baseColWidth="10" defaultColWidth="9.140625" defaultRowHeight="15" x14ac:dyDescent="0.25"/>
  <cols>
    <col min="1" max="1" width="13.7109375" customWidth="1"/>
    <col min="2" max="2" width="6" bestFit="1" customWidth="1"/>
    <col min="3" max="3" width="4.85546875" customWidth="1"/>
    <col min="4" max="4" width="7.140625" style="5" bestFit="1" customWidth="1"/>
    <col min="5" max="6" width="7.28515625" bestFit="1" customWidth="1"/>
    <col min="7" max="7" width="6.85546875" bestFit="1" customWidth="1"/>
    <col min="8" max="9" width="7.28515625" bestFit="1" customWidth="1"/>
    <col min="10" max="10" width="6.42578125" bestFit="1" customWidth="1"/>
    <col min="11" max="11" width="6" bestFit="1" customWidth="1"/>
    <col min="12" max="12" width="8.7109375" bestFit="1" customWidth="1"/>
    <col min="13" max="15" width="11" bestFit="1" customWidth="1"/>
    <col min="16" max="16" width="11.140625" bestFit="1" customWidth="1"/>
    <col min="17" max="18" width="11.42578125" bestFit="1" customWidth="1"/>
    <col min="19" max="19" width="11.5703125" bestFit="1" customWidth="1"/>
    <col min="20" max="20" width="10.7109375" bestFit="1" customWidth="1"/>
    <col min="21" max="21" width="13.140625" customWidth="1"/>
    <col min="22" max="22" width="7.7109375" bestFit="1" customWidth="1"/>
    <col min="23" max="23" width="5.7109375" bestFit="1" customWidth="1"/>
    <col min="24" max="24" width="6.85546875" bestFit="1" customWidth="1"/>
    <col min="25" max="25" width="7.28515625" bestFit="1" customWidth="1"/>
    <col min="27" max="27" width="7.28515625" bestFit="1" customWidth="1"/>
    <col min="28" max="28" width="11.42578125" bestFit="1" customWidth="1"/>
    <col min="29" max="29" width="13.140625" customWidth="1"/>
    <col min="30" max="30" width="11.28515625" bestFit="1" customWidth="1"/>
    <col min="31" max="31" width="13.140625" customWidth="1"/>
    <col min="32" max="32" width="14" style="11" bestFit="1" customWidth="1"/>
    <col min="33" max="33" width="8.7109375" bestFit="1" customWidth="1"/>
    <col min="34" max="34" width="10.7109375" bestFit="1" customWidth="1"/>
    <col min="37" max="37" width="10.7109375" customWidth="1"/>
    <col min="38" max="38" width="11.42578125" customWidth="1"/>
    <col min="42" max="42" width="11.42578125" customWidth="1"/>
    <col min="45" max="45" width="10.42578125" customWidth="1"/>
    <col min="48" max="48" width="11.140625" customWidth="1"/>
  </cols>
  <sheetData>
    <row r="1" spans="1:54" x14ac:dyDescent="0.25">
      <c r="A1" t="s">
        <v>17</v>
      </c>
      <c r="D1" s="5" t="s">
        <v>2</v>
      </c>
      <c r="E1" s="16" t="s">
        <v>3</v>
      </c>
      <c r="F1" s="27" t="s">
        <v>4</v>
      </c>
      <c r="G1" s="24" t="s">
        <v>9</v>
      </c>
      <c r="H1" t="s">
        <v>22</v>
      </c>
      <c r="I1" s="1" t="s">
        <v>23</v>
      </c>
      <c r="J1" s="1" t="s">
        <v>46</v>
      </c>
      <c r="K1" s="16" t="s">
        <v>5</v>
      </c>
      <c r="L1" s="27" t="s">
        <v>59</v>
      </c>
      <c r="M1" s="27" t="s">
        <v>7</v>
      </c>
      <c r="N1" s="27" t="s">
        <v>10</v>
      </c>
      <c r="O1" s="24" t="s">
        <v>11</v>
      </c>
      <c r="P1" t="s">
        <v>15</v>
      </c>
      <c r="Q1" s="16" t="s">
        <v>12</v>
      </c>
      <c r="R1" s="24" t="s">
        <v>13</v>
      </c>
      <c r="S1" t="s">
        <v>16</v>
      </c>
      <c r="T1" t="s">
        <v>14</v>
      </c>
      <c r="U1" t="s">
        <v>54</v>
      </c>
      <c r="V1" s="1" t="s">
        <v>35</v>
      </c>
      <c r="W1" t="s">
        <v>36</v>
      </c>
      <c r="X1" s="1" t="s">
        <v>27</v>
      </c>
      <c r="Y1" s="7" t="s">
        <v>24</v>
      </c>
      <c r="Z1" s="7" t="s">
        <v>25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s="11" t="s">
        <v>58</v>
      </c>
      <c r="AG1" t="s">
        <v>37</v>
      </c>
      <c r="AH1" t="s">
        <v>38</v>
      </c>
      <c r="AI1" s="6" t="s">
        <v>39</v>
      </c>
      <c r="AJ1" s="6" t="s">
        <v>40</v>
      </c>
      <c r="AK1" s="6" t="s">
        <v>41</v>
      </c>
      <c r="AL1" s="6" t="s">
        <v>42</v>
      </c>
      <c r="AM1" s="6" t="s">
        <v>44</v>
      </c>
      <c r="AN1" s="6" t="s">
        <v>45</v>
      </c>
      <c r="AO1" t="s">
        <v>48</v>
      </c>
      <c r="AP1" t="s">
        <v>49</v>
      </c>
      <c r="AQ1" t="s">
        <v>50</v>
      </c>
      <c r="AR1" t="s">
        <v>51</v>
      </c>
      <c r="AS1" t="s">
        <v>52</v>
      </c>
      <c r="AT1" t="s">
        <v>53</v>
      </c>
      <c r="AU1" t="s">
        <v>55</v>
      </c>
      <c r="AV1" t="s">
        <v>57</v>
      </c>
      <c r="AW1" t="s">
        <v>56</v>
      </c>
      <c r="AX1" t="s">
        <v>0</v>
      </c>
      <c r="BA1">
        <v>0</v>
      </c>
      <c r="BB1">
        <v>0</v>
      </c>
    </row>
    <row r="2" spans="1:54" x14ac:dyDescent="0.25">
      <c r="A2" s="14" t="s">
        <v>18</v>
      </c>
      <c r="B2" s="15">
        <v>13.5</v>
      </c>
      <c r="D2" s="4" t="s">
        <v>6</v>
      </c>
      <c r="E2" s="25">
        <v>5</v>
      </c>
      <c r="F2" s="28">
        <v>3</v>
      </c>
      <c r="G2" s="26">
        <v>0.14000000000000001</v>
      </c>
      <c r="H2" s="2">
        <f>(E2^2+F2^2)^0.5</f>
        <v>5.8309518948453007</v>
      </c>
      <c r="I2" s="2">
        <f>ATAN(F2/E2)</f>
        <v>0.54041950027058416</v>
      </c>
      <c r="J2" s="2">
        <f>COS(I2)</f>
        <v>0.85749292571254421</v>
      </c>
      <c r="K2" s="18"/>
      <c r="L2" s="29">
        <v>0</v>
      </c>
      <c r="M2" s="29" t="s">
        <v>8</v>
      </c>
      <c r="N2" s="29">
        <v>40</v>
      </c>
      <c r="O2" s="30">
        <v>30</v>
      </c>
      <c r="P2" s="3">
        <f>N2*O2^3/12</f>
        <v>90000</v>
      </c>
      <c r="Q2" s="18">
        <v>40</v>
      </c>
      <c r="R2" s="30">
        <v>30</v>
      </c>
      <c r="S2" s="3">
        <f>Q2*R2^3/12</f>
        <v>90000</v>
      </c>
      <c r="T2" s="8">
        <f>(P2+S2)*10000/2</f>
        <v>900000000</v>
      </c>
      <c r="U2" s="3">
        <f>IF(L2=0,$B$3,IF(L2=1,($B$3+$B$6)/2,$B$6))</f>
        <v>24072.589573003097</v>
      </c>
      <c r="V2" s="9">
        <f>($B$6*G2*1000*SIN(2*I2)/(4*U2*T2*F2*1000))^0.25</f>
        <v>1.2092304648220426E-3</v>
      </c>
      <c r="W2" s="2">
        <f>V2*F2*1000</f>
        <v>3.6276913944661278</v>
      </c>
      <c r="X2" s="13">
        <f>PI()/(2*W2)</f>
        <v>0.43300164098607513</v>
      </c>
      <c r="Y2" s="31">
        <f>X2*F2*1000</f>
        <v>1299.0049229582255</v>
      </c>
      <c r="Z2" s="31">
        <f>Y2/2</f>
        <v>649.50246147911275</v>
      </c>
      <c r="AA2" s="2">
        <f>0.175*W2^-0.4</f>
        <v>0.1045167543577077</v>
      </c>
      <c r="AB2" s="3">
        <f>$B$7*G2*1000*E2*1000/(F2*1000)</f>
        <v>315000.00000000006</v>
      </c>
      <c r="AC2" s="3">
        <f>$B$6*AA2*G2*1000*(COS(I2))^2</f>
        <v>48415.849445114611</v>
      </c>
      <c r="AD2" s="3">
        <f>AB2/J2^2</f>
        <v>428400.00000000006</v>
      </c>
      <c r="AE2" s="3">
        <f>AC2/J2^2</f>
        <v>65845.555245355863</v>
      </c>
      <c r="AF2" s="12">
        <f>0.5*AD2</f>
        <v>214200.00000000003</v>
      </c>
      <c r="AG2" s="3">
        <f>$B$9*G2*1000*E2*1000/1000</f>
        <v>245</v>
      </c>
      <c r="AH2" s="3">
        <f>1.3*AG2</f>
        <v>318.5</v>
      </c>
      <c r="AI2" s="32">
        <f>AG2/J2</f>
        <v>285.71664284741973</v>
      </c>
      <c r="AJ2" s="10">
        <f t="shared" ref="AJ2" si="0">AI2*1000/AD2</f>
        <v>0.66693894222086758</v>
      </c>
      <c r="AK2" s="32">
        <f>AH2/J2</f>
        <v>371.43163570164563</v>
      </c>
      <c r="AL2" s="10">
        <f t="shared" ref="AL2" si="1">AK2*1000/AE2</f>
        <v>5.6409522908206169</v>
      </c>
      <c r="AM2" s="32">
        <f>$B$10*AK2</f>
        <v>0</v>
      </c>
      <c r="AN2" s="10">
        <f>AL2+AK2*1000/($B$11*AD2)</f>
        <v>14.311158539691895</v>
      </c>
      <c r="AO2" s="3">
        <f>AI2/4</f>
        <v>71.429160711854934</v>
      </c>
      <c r="AP2" s="3">
        <f>AK2/4</f>
        <v>92.857908925411408</v>
      </c>
      <c r="AQ2" s="3">
        <f>AM2/4</f>
        <v>0</v>
      </c>
      <c r="AR2" s="3">
        <f>AI2/2</f>
        <v>142.85832142370987</v>
      </c>
      <c r="AS2" s="3">
        <f>AK2/2</f>
        <v>185.71581785082282</v>
      </c>
      <c r="AT2" s="3">
        <f>AM2/2</f>
        <v>0</v>
      </c>
      <c r="AU2" s="2">
        <f>AJ2/J2</f>
        <v>0.77777777777777757</v>
      </c>
      <c r="AV2" s="2">
        <f>AL2/J2</f>
        <v>6.578424289778483</v>
      </c>
      <c r="AW2" s="2">
        <f>AN2/J2</f>
        <v>16.689535400889593</v>
      </c>
      <c r="AX2" t="s">
        <v>1</v>
      </c>
    </row>
    <row r="3" spans="1:54" x14ac:dyDescent="0.25">
      <c r="A3" t="s">
        <v>20</v>
      </c>
      <c r="B3" s="3">
        <f>22000*(B2/10)^0.3</f>
        <v>24072.589573003097</v>
      </c>
    </row>
    <row r="4" spans="1:54" x14ac:dyDescent="0.25">
      <c r="B4" s="5"/>
    </row>
    <row r="5" spans="1:54" x14ac:dyDescent="0.25">
      <c r="A5" t="s">
        <v>21</v>
      </c>
      <c r="B5" s="5"/>
    </row>
    <row r="6" spans="1:54" x14ac:dyDescent="0.25">
      <c r="A6" s="16" t="s">
        <v>19</v>
      </c>
      <c r="B6" s="17">
        <v>4500</v>
      </c>
    </row>
    <row r="7" spans="1:54" x14ac:dyDescent="0.25">
      <c r="A7" s="18" t="s">
        <v>33</v>
      </c>
      <c r="B7" s="19">
        <v>1350</v>
      </c>
    </row>
    <row r="8" spans="1:54" x14ac:dyDescent="0.25">
      <c r="A8" s="1" t="s">
        <v>34</v>
      </c>
      <c r="B8" s="2">
        <f>B6/(2*B7)-1</f>
        <v>0.66666666666666674</v>
      </c>
    </row>
    <row r="9" spans="1:54" x14ac:dyDescent="0.25">
      <c r="A9" s="20" t="s">
        <v>26</v>
      </c>
      <c r="B9" s="17">
        <v>0.35</v>
      </c>
    </row>
    <row r="10" spans="1:54" x14ac:dyDescent="0.25">
      <c r="A10" s="21" t="s">
        <v>43</v>
      </c>
      <c r="B10" s="22">
        <v>0</v>
      </c>
    </row>
    <row r="11" spans="1:54" x14ac:dyDescent="0.25">
      <c r="A11" s="23" t="s">
        <v>47</v>
      </c>
      <c r="B11" s="19">
        <v>0.1</v>
      </c>
      <c r="C11" s="1"/>
    </row>
    <row r="12" spans="1:54" x14ac:dyDescent="0.25">
      <c r="C12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infills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2017-11-07T20:20:08Z</dcterms:modified>
</cp:coreProperties>
</file>