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/>
  </bookViews>
  <sheets>
    <sheet name="vigas" sheetId="1" r:id="rId1"/>
    <sheet name="pilares" sheetId="6" r:id="rId2"/>
    <sheet name="aux" sheetId="5" r:id="rId3"/>
  </sheets>
  <calcPr calcId="145621"/>
</workbook>
</file>

<file path=xl/calcChain.xml><?xml version="1.0" encoding="utf-8"?>
<calcChain xmlns="http://schemas.openxmlformats.org/spreadsheetml/2006/main">
  <c r="I8" i="1" l="1"/>
  <c r="I20" i="1"/>
  <c r="I11" i="1"/>
  <c r="N9" i="1"/>
  <c r="H2" i="6"/>
  <c r="B18" i="1" l="1"/>
  <c r="I13" i="1"/>
  <c r="H6" i="6" l="1"/>
  <c r="H8" i="6"/>
  <c r="I7" i="6" l="1"/>
  <c r="H7" i="6"/>
  <c r="H16" i="1"/>
  <c r="I19" i="1" s="1"/>
  <c r="C12" i="1" l="1"/>
  <c r="C3" i="1"/>
  <c r="H9" i="6" l="1"/>
  <c r="I9" i="6"/>
  <c r="B19" i="6"/>
  <c r="G8" i="6"/>
  <c r="G16" i="6" s="1"/>
  <c r="G5" i="6"/>
  <c r="C19" i="1" l="1"/>
  <c r="D12" i="1" s="1"/>
  <c r="B32" i="1"/>
  <c r="B19" i="1"/>
  <c r="G7" i="6"/>
  <c r="B11" i="6" l="1"/>
  <c r="B10" i="6"/>
  <c r="H14" i="6"/>
  <c r="G10" i="6" l="1"/>
  <c r="B20" i="6"/>
  <c r="B21" i="6" s="1"/>
  <c r="C8" i="6"/>
  <c r="B8" i="6"/>
  <c r="H15" i="6" s="1"/>
  <c r="G9" i="6" l="1"/>
  <c r="G17" i="6" s="1"/>
  <c r="G11" i="6"/>
  <c r="C18" i="1" l="1"/>
  <c r="B20" i="1" l="1"/>
  <c r="B15" i="1"/>
  <c r="B29" i="1" l="1"/>
  <c r="H26" i="1" l="1"/>
  <c r="H25" i="1"/>
  <c r="H13" i="1"/>
  <c r="H8" i="1"/>
  <c r="H7" i="1"/>
  <c r="H9" i="1"/>
  <c r="H10" i="1"/>
  <c r="H27" i="1" l="1"/>
  <c r="H12" i="1"/>
  <c r="H15" i="1" s="1"/>
  <c r="H11" i="1"/>
  <c r="I12" i="1" l="1"/>
  <c r="I7" i="1"/>
  <c r="I27" i="1"/>
  <c r="B9" i="1" s="1"/>
  <c r="H14" i="1"/>
  <c r="B24" i="1" s="1"/>
  <c r="C20" i="1" s="1"/>
  <c r="C13" i="1" s="1"/>
</calcChain>
</file>

<file path=xl/sharedStrings.xml><?xml version="1.0" encoding="utf-8"?>
<sst xmlns="http://schemas.openxmlformats.org/spreadsheetml/2006/main" count="144" uniqueCount="115">
  <si>
    <t>b [mm]</t>
  </si>
  <si>
    <t>h [mm]</t>
  </si>
  <si>
    <t>fyk [N/mm2]</t>
  </si>
  <si>
    <t>ϒy</t>
  </si>
  <si>
    <t>fyd [N/mm2]</t>
  </si>
  <si>
    <t>μ</t>
  </si>
  <si>
    <t>Ubase,sup [kN]</t>
  </si>
  <si>
    <t>Ubase,inf [kN]</t>
  </si>
  <si>
    <t>ΔUinf [kN]</t>
  </si>
  <si>
    <t>ΔUsup [kN]</t>
  </si>
  <si>
    <t>Usup [kN]</t>
  </si>
  <si>
    <t>Uinf [kN]</t>
  </si>
  <si>
    <t>n</t>
  </si>
  <si>
    <t>d [mm]</t>
  </si>
  <si>
    <t>ρsup</t>
  </si>
  <si>
    <t>ρinf</t>
  </si>
  <si>
    <t>x [mm]</t>
  </si>
  <si>
    <t>cuelgue [mm]</t>
  </si>
  <si>
    <t>d' [mm]</t>
  </si>
  <si>
    <t>bmin [mm]</t>
  </si>
  <si>
    <t>cuelgue min [mm]</t>
  </si>
  <si>
    <t>ac [g]</t>
  </si>
  <si>
    <t>Ubase,min,sup [kN]</t>
  </si>
  <si>
    <t>Ubase,min,inf [kN]</t>
  </si>
  <si>
    <t>Umin,inf [kN]</t>
  </si>
  <si>
    <t>Upiel [kN]</t>
  </si>
  <si>
    <t>Upiel,min [kN]</t>
  </si>
  <si>
    <t>Umax,sup [kN]</t>
  </si>
  <si>
    <t>s [mm]</t>
  </si>
  <si>
    <t>inversión</t>
  </si>
  <si>
    <t>pórtico</t>
  </si>
  <si>
    <t>interno</t>
  </si>
  <si>
    <t>borde</t>
  </si>
  <si>
    <t>extremo</t>
  </si>
  <si>
    <t>nudo</t>
  </si>
  <si>
    <t>interior</t>
  </si>
  <si>
    <t>INVERSIÓN</t>
  </si>
  <si>
    <t>NUDL</t>
  </si>
  <si>
    <t>PÓRTICO</t>
  </si>
  <si>
    <t>VIGA TRANSVERSAL</t>
  </si>
  <si>
    <t>bmax [mm]</t>
  </si>
  <si>
    <t>e [mm]</t>
  </si>
  <si>
    <t>vuelo [mm]</t>
  </si>
  <si>
    <t>vuelo max [mm]</t>
  </si>
  <si>
    <t>e max [mm]</t>
  </si>
  <si>
    <t>c [mm]</t>
  </si>
  <si>
    <t>TIPO PILAR</t>
  </si>
  <si>
    <t>cmin [mm]</t>
  </si>
  <si>
    <t>tipo</t>
  </si>
  <si>
    <t>simetría</t>
  </si>
  <si>
    <t>SIMETRÍA</t>
  </si>
  <si>
    <t xml:space="preserve">ρ </t>
  </si>
  <si>
    <t>ϒc</t>
  </si>
  <si>
    <t>fck [N/mm2]</t>
  </si>
  <si>
    <t>fyd,eff [N/mm2]</t>
  </si>
  <si>
    <t>nmin</t>
  </si>
  <si>
    <t>r [mm]</t>
  </si>
  <si>
    <t>ω</t>
  </si>
  <si>
    <t>Φh,min [mm]</t>
  </si>
  <si>
    <t>s,max [mm]</t>
  </si>
  <si>
    <t>hy [mm]</t>
  </si>
  <si>
    <t>hz [mm]</t>
  </si>
  <si>
    <t>dy [mm]</t>
  </si>
  <si>
    <t>dz [mm]</t>
  </si>
  <si>
    <t>ny,sim</t>
  </si>
  <si>
    <t>ny,nosim</t>
  </si>
  <si>
    <t>nz</t>
  </si>
  <si>
    <t>dist,y [mm]</t>
  </si>
  <si>
    <t>dist,z [mm]</t>
  </si>
  <si>
    <t>ramy,min</t>
  </si>
  <si>
    <t>ramz,min</t>
  </si>
  <si>
    <t>viga transversal</t>
  </si>
  <si>
    <t>arm. Transversal</t>
  </si>
  <si>
    <t>hforj [mm]</t>
  </si>
  <si>
    <t>DIÁMETROS</t>
  </si>
  <si>
    <t>base, sup</t>
  </si>
  <si>
    <t>base, inf</t>
  </si>
  <si>
    <t>ref, sup</t>
  </si>
  <si>
    <t>ref, inf</t>
  </si>
  <si>
    <t>(EHE-08)</t>
  </si>
  <si>
    <t>rectangular</t>
  </si>
  <si>
    <t>circular</t>
  </si>
  <si>
    <t>GEOMETRÍA</t>
  </si>
  <si>
    <t>SITUACIÓN DE CONJUNTO</t>
  </si>
  <si>
    <t>PARÁMETROS DISEÑO SÍSMICO</t>
  </si>
  <si>
    <t>RÉGIMEN TENSIONAL</t>
  </si>
  <si>
    <t>Ec [N/mm2]</t>
  </si>
  <si>
    <t>Ey [N/mm2]</t>
  </si>
  <si>
    <t>MATERIALES</t>
  </si>
  <si>
    <t>piel</t>
  </si>
  <si>
    <t>CERCOS</t>
  </si>
  <si>
    <t>ARMADO FLEXIÓN</t>
  </si>
  <si>
    <t>ARMADO NERVIO TRANSVERSAL</t>
  </si>
  <si>
    <t>sí</t>
  </si>
  <si>
    <t>no</t>
  </si>
  <si>
    <t>alfa</t>
  </si>
  <si>
    <t>α</t>
  </si>
  <si>
    <t>αfcd [N/mm2]</t>
  </si>
  <si>
    <t>Φv [mm]</t>
  </si>
  <si>
    <t>b pilar [mm]</t>
  </si>
  <si>
    <t>μ,max</t>
  </si>
  <si>
    <t>hmin [mm]</t>
  </si>
  <si>
    <t>s extremo [mm]</t>
  </si>
  <si>
    <t>s central [mm]</t>
  </si>
  <si>
    <t>Usup,min [kN]</t>
  </si>
  <si>
    <t>(sobre h=hz)</t>
  </si>
  <si>
    <t>(sobre b=hy)</t>
  </si>
  <si>
    <t>Φmin [mm]</t>
  </si>
  <si>
    <t>ω,max (EHE-08)</t>
  </si>
  <si>
    <t>ρ,min</t>
  </si>
  <si>
    <t>dist,max [mm]</t>
  </si>
  <si>
    <t>ojo duct 2</t>
  </si>
  <si>
    <t>añadir distancia de longitud crítica</t>
  </si>
  <si>
    <t>s extremo,max [mm]</t>
  </si>
  <si>
    <t>s central,max [mm]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</si>
</sst>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 applyFill="1" applyBorder="1"/>
    <xf numFmtId="0" fontId="0" fillId="0" borderId="4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0" fontId="0" fillId="0" borderId="0" xfId="0" applyBorder="1"/>
    <xf numFmtId="164" fontId="0" fillId="0" borderId="0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3" xfId="0" applyFill="1" applyBorder="1"/>
    <xf numFmtId="0" fontId="0" fillId="0" borderId="10" xfId="0" applyFill="1" applyBorder="1"/>
    <xf numFmtId="164" fontId="0" fillId="0" borderId="4" xfId="0" applyNumberFormat="1" applyBorder="1"/>
  </cellXfs>
  <cellStyles count="1">
    <cellStyle name="Normal" xfId="0" builtinId="0"/>
  </cellStyles>
  <dxfs count="64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/>
        <right/>
        <top/>
        <bottom/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="85" zoomScaleNormal="85" workbookViewId="0">
      <selection activeCell="M6" sqref="M6"/>
    </sheetView>
  </sheetViews>
  <sheetFormatPr baseColWidth="10" defaultColWidth="9.140625" defaultRowHeight="15" x14ac:dyDescent="0.25"/>
  <cols>
    <col min="1" max="1" width="16.7109375" customWidth="1"/>
    <col min="3" max="3" width="10.85546875" bestFit="1" customWidth="1"/>
    <col min="7" max="7" width="17.42578125" customWidth="1"/>
    <col min="8" max="8" width="11" customWidth="1"/>
  </cols>
  <sheetData>
    <row r="1" spans="1:14" x14ac:dyDescent="0.25">
      <c r="A1" t="s">
        <v>84</v>
      </c>
      <c r="G1" t="s">
        <v>91</v>
      </c>
    </row>
    <row r="2" spans="1:14" x14ac:dyDescent="0.25">
      <c r="A2" t="s">
        <v>21</v>
      </c>
      <c r="B2" s="3">
        <v>0.45</v>
      </c>
      <c r="G2" t="s">
        <v>75</v>
      </c>
      <c r="H2" s="16">
        <v>5</v>
      </c>
      <c r="I2" s="13">
        <v>20</v>
      </c>
    </row>
    <row r="3" spans="1:14" x14ac:dyDescent="0.25">
      <c r="A3" s="6" t="s">
        <v>5</v>
      </c>
      <c r="B3" s="5">
        <v>2</v>
      </c>
      <c r="C3">
        <f>IF(B23=aux!C2,3,4)</f>
        <v>3</v>
      </c>
      <c r="D3" s="6" t="s">
        <v>100</v>
      </c>
      <c r="G3" t="s">
        <v>76</v>
      </c>
      <c r="H3" s="17">
        <v>6</v>
      </c>
      <c r="I3" s="14">
        <v>16</v>
      </c>
      <c r="L3" s="8"/>
    </row>
    <row r="4" spans="1:14" x14ac:dyDescent="0.25">
      <c r="G4" t="s">
        <v>77</v>
      </c>
      <c r="H4" s="17">
        <v>12</v>
      </c>
      <c r="I4" s="14">
        <v>12</v>
      </c>
    </row>
    <row r="5" spans="1:14" x14ac:dyDescent="0.25">
      <c r="A5" t="s">
        <v>83</v>
      </c>
      <c r="G5" t="s">
        <v>78</v>
      </c>
      <c r="H5" s="17">
        <v>0</v>
      </c>
      <c r="I5" s="14">
        <v>16</v>
      </c>
    </row>
    <row r="6" spans="1:14" x14ac:dyDescent="0.25">
      <c r="A6" t="s">
        <v>30</v>
      </c>
      <c r="B6" s="3" t="s">
        <v>31</v>
      </c>
      <c r="G6" t="s">
        <v>89</v>
      </c>
      <c r="H6" s="20">
        <v>0</v>
      </c>
      <c r="I6" s="15">
        <v>10</v>
      </c>
    </row>
    <row r="7" spans="1:14" x14ac:dyDescent="0.25">
      <c r="A7" t="s">
        <v>34</v>
      </c>
      <c r="B7" s="4" t="s">
        <v>35</v>
      </c>
      <c r="G7" t="s">
        <v>6</v>
      </c>
      <c r="H7" s="12">
        <f>PI()/4*$B$29*H2*I2^2/1000</f>
        <v>682.95492469343333</v>
      </c>
      <c r="I7" s="8">
        <f>MAX(IF(B2&lt;0.16,0,MAX(PI()/4*2*16^2/1000*B29,IF(B27=400,0.0033,0.0028)*B12*B13*B29/1000)),IF(B3&lt;3,0,IF(B3&lt;4,MAX(PI()/4*2*14^2/1000*B29,H11/4),MAX(PI()/4*2*14^2/1000*B29,H11/3))))</f>
        <v>292.17391304347819</v>
      </c>
      <c r="J7" t="s">
        <v>22</v>
      </c>
      <c r="L7" s="8"/>
    </row>
    <row r="8" spans="1:14" x14ac:dyDescent="0.25">
      <c r="A8" t="s">
        <v>71</v>
      </c>
      <c r="B8" s="5" t="s">
        <v>93</v>
      </c>
      <c r="G8" t="s">
        <v>7</v>
      </c>
      <c r="H8" s="12">
        <f>PI()/4*$B$29*H3*I3^2/1000</f>
        <v>524.50938216455677</v>
      </c>
      <c r="I8" s="8">
        <f>MAX(IF(B2&lt;0.16,0,MAX(PI()/4*2*16^2/1000*B29,IF(B27=400,0.0033,0.0028)*B12*B13*B29/1000)),IF(B3&lt;3,0,IF(B3&lt;4,MAX(PI()/4*2*14^2/1000*B29,H11/4),MAX(PI()/4*2*14^2/1000*B29,H11/3))))</f>
        <v>292.17391304347819</v>
      </c>
      <c r="J8" t="s">
        <v>23</v>
      </c>
    </row>
    <row r="9" spans="1:14" x14ac:dyDescent="0.25">
      <c r="A9" t="s">
        <v>72</v>
      </c>
      <c r="B9" t="str">
        <f>IF(H27&gt;I27,aux!D2,aux!D3)</f>
        <v>sí</v>
      </c>
      <c r="G9" t="s">
        <v>9</v>
      </c>
      <c r="H9" s="12">
        <f>PI()/4*$B$29*H4*I4^2/1000</f>
        <v>590.07305493512638</v>
      </c>
      <c r="N9">
        <f>0.0028*B12*B13*B29/1000</f>
        <v>292.17391304347819</v>
      </c>
    </row>
    <row r="10" spans="1:14" x14ac:dyDescent="0.25">
      <c r="G10" t="s">
        <v>8</v>
      </c>
      <c r="H10" s="12">
        <f>PI()/4*$B$29*H5*I5^2/1000</f>
        <v>0</v>
      </c>
    </row>
    <row r="11" spans="1:14" x14ac:dyDescent="0.25">
      <c r="A11" t="s">
        <v>82</v>
      </c>
      <c r="C11" t="s">
        <v>19</v>
      </c>
      <c r="D11" t="s">
        <v>40</v>
      </c>
      <c r="G11" t="s">
        <v>10</v>
      </c>
      <c r="H11" s="8">
        <f>H7+H9</f>
        <v>1273.0279796285597</v>
      </c>
      <c r="I11" s="8">
        <f>IF(B3&lt;3,100000,B12*B13*B29/1000/40)</f>
        <v>100000</v>
      </c>
      <c r="J11" t="s">
        <v>27</v>
      </c>
    </row>
    <row r="12" spans="1:14" x14ac:dyDescent="0.25">
      <c r="A12" t="s">
        <v>0</v>
      </c>
      <c r="B12" s="3">
        <v>800</v>
      </c>
      <c r="C12">
        <f>IF(B3&lt;3,0,IF(B3&lt;4,200,250))</f>
        <v>0</v>
      </c>
      <c r="D12">
        <f>MIN(IF(B3=4,B16,10^10),IF(B6=aux!A2,B16+2*C19,B16+C19))</f>
        <v>800</v>
      </c>
      <c r="G12" t="s">
        <v>11</v>
      </c>
      <c r="H12" s="8">
        <f>H8+H10</f>
        <v>524.50938216455677</v>
      </c>
      <c r="I12" s="8">
        <f>IF(B3&lt;3,0,IF(B3&lt;4,H11/3,H11/2))</f>
        <v>0</v>
      </c>
      <c r="J12" t="s">
        <v>24</v>
      </c>
    </row>
    <row r="13" spans="1:14" x14ac:dyDescent="0.25">
      <c r="A13" t="s">
        <v>1</v>
      </c>
      <c r="B13" s="4">
        <v>300</v>
      </c>
      <c r="C13" s="10">
        <f>B17+C20</f>
        <v>300</v>
      </c>
      <c r="D13" t="s">
        <v>101</v>
      </c>
      <c r="G13" s="6" t="s">
        <v>25</v>
      </c>
      <c r="H13" s="21">
        <f>PI()/4*$B$29*H6*I6^2/1000</f>
        <v>0</v>
      </c>
      <c r="I13" s="8">
        <f>IF(B3&lt;4,0,PI()/4*2*10^2*B29/1000*INT(B13/251))</f>
        <v>0</v>
      </c>
      <c r="J13" s="6" t="s">
        <v>26</v>
      </c>
    </row>
    <row r="14" spans="1:14" x14ac:dyDescent="0.25">
      <c r="A14" t="s">
        <v>18</v>
      </c>
      <c r="B14" s="19">
        <v>40</v>
      </c>
      <c r="G14" s="1" t="s">
        <v>14</v>
      </c>
      <c r="H14" s="9">
        <f>H11*1000/($B$12*$B$15*$B$29)</f>
        <v>1.4076751697815804E-2</v>
      </c>
    </row>
    <row r="15" spans="1:14" x14ac:dyDescent="0.25">
      <c r="A15" t="s">
        <v>13</v>
      </c>
      <c r="B15">
        <f>B13-B14</f>
        <v>260</v>
      </c>
      <c r="G15" s="1" t="s">
        <v>15</v>
      </c>
      <c r="H15" s="9">
        <f>H12*1000/($B$12*$B$15*$B$29)</f>
        <v>5.7998633604734642E-3</v>
      </c>
    </row>
    <row r="16" spans="1:14" x14ac:dyDescent="0.25">
      <c r="A16" t="s">
        <v>99</v>
      </c>
      <c r="B16" s="3">
        <v>500</v>
      </c>
      <c r="G16" s="6" t="s">
        <v>107</v>
      </c>
      <c r="H16">
        <f>IF(B23=aux!C2,MIN(I2:I5),MIN(I2:I3))</f>
        <v>12</v>
      </c>
    </row>
    <row r="17" spans="1:12" x14ac:dyDescent="0.25">
      <c r="A17" t="s">
        <v>73</v>
      </c>
      <c r="B17" s="5">
        <v>300</v>
      </c>
    </row>
    <row r="18" spans="1:12" x14ac:dyDescent="0.25">
      <c r="A18" t="s">
        <v>41</v>
      </c>
      <c r="B18">
        <f>ABS(IF(B6=aux!A3,(B12-B16)/2,0))</f>
        <v>0</v>
      </c>
      <c r="C18">
        <f>B16/4</f>
        <v>125</v>
      </c>
      <c r="D18" t="s">
        <v>44</v>
      </c>
      <c r="G18" t="s">
        <v>90</v>
      </c>
    </row>
    <row r="19" spans="1:12" x14ac:dyDescent="0.25">
      <c r="A19" t="s">
        <v>42</v>
      </c>
      <c r="B19">
        <f>IF(B6=aux!A3,B12-B16,(B12-B16)/2)</f>
        <v>150</v>
      </c>
      <c r="C19">
        <f>IF(OR(B7=aux!B2,B23=aux!C2),IF(B8=aux!D2,B13/2,0),IF(B9=aux!D2,B13/2,0))</f>
        <v>150</v>
      </c>
      <c r="D19" t="s">
        <v>43</v>
      </c>
      <c r="G19" s="6" t="s">
        <v>102</v>
      </c>
      <c r="H19" s="3">
        <v>70</v>
      </c>
      <c r="I19">
        <f>IF(B3&lt;3,100,MIN(150,B13/4,H16*(IF(B3&lt;4,8,6))))</f>
        <v>100</v>
      </c>
      <c r="J19" s="6" t="s">
        <v>113</v>
      </c>
    </row>
    <row r="20" spans="1:12" x14ac:dyDescent="0.25">
      <c r="A20" t="s">
        <v>17</v>
      </c>
      <c r="B20">
        <f>B13-B17</f>
        <v>0</v>
      </c>
      <c r="C20" s="10">
        <f>IF(B3&lt;3,0,B24)</f>
        <v>0</v>
      </c>
      <c r="D20" t="s">
        <v>20</v>
      </c>
      <c r="G20" s="6" t="s">
        <v>103</v>
      </c>
      <c r="H20" s="5">
        <v>150</v>
      </c>
      <c r="I20">
        <f>IF(B3&lt;3,100000,B13/2)</f>
        <v>100000</v>
      </c>
      <c r="J20" s="6" t="s">
        <v>114</v>
      </c>
      <c r="L20" t="s">
        <v>111</v>
      </c>
    </row>
    <row r="21" spans="1:12" x14ac:dyDescent="0.25">
      <c r="J21" t="s">
        <v>112</v>
      </c>
    </row>
    <row r="22" spans="1:12" x14ac:dyDescent="0.25">
      <c r="A22" t="s">
        <v>85</v>
      </c>
      <c r="G22" t="s">
        <v>92</v>
      </c>
    </row>
    <row r="23" spans="1:12" x14ac:dyDescent="0.25">
      <c r="A23" t="s">
        <v>29</v>
      </c>
      <c r="B23" s="7" t="s">
        <v>93</v>
      </c>
      <c r="G23" t="s">
        <v>75</v>
      </c>
      <c r="H23" s="16">
        <v>4</v>
      </c>
      <c r="I23" s="13">
        <v>16</v>
      </c>
    </row>
    <row r="24" spans="1:12" x14ac:dyDescent="0.25">
      <c r="A24" s="6" t="s">
        <v>16</v>
      </c>
      <c r="B24" s="10">
        <f>B15*B32*H14*(1+H15/H14)*(-1+(1+2*(1+H15/H14*B14/B15)/(B32*H14*(1+H15/H14)^2))^0.5)</f>
        <v>90.395143509790799</v>
      </c>
      <c r="G24" t="s">
        <v>77</v>
      </c>
      <c r="H24" s="18">
        <v>2</v>
      </c>
      <c r="I24" s="15">
        <v>16</v>
      </c>
    </row>
    <row r="25" spans="1:12" x14ac:dyDescent="0.25">
      <c r="G25" t="s">
        <v>6</v>
      </c>
      <c r="H25" s="12">
        <f>PI()/4*$B$29*H23*I23^2/1000</f>
        <v>349.67292144303786</v>
      </c>
    </row>
    <row r="26" spans="1:12" x14ac:dyDescent="0.25">
      <c r="A26" t="s">
        <v>88</v>
      </c>
      <c r="G26" t="s">
        <v>9</v>
      </c>
      <c r="H26" s="12">
        <f>PI()/4*$B$29*H24*I24^2/1000</f>
        <v>174.83646072151893</v>
      </c>
    </row>
    <row r="27" spans="1:12" x14ac:dyDescent="0.25">
      <c r="A27" t="s">
        <v>2</v>
      </c>
      <c r="B27" s="7">
        <v>500</v>
      </c>
      <c r="G27" t="s">
        <v>10</v>
      </c>
      <c r="H27" s="8">
        <f>H25+H26</f>
        <v>524.50938216455677</v>
      </c>
      <c r="I27" s="8">
        <f>H11/4</f>
        <v>318.25699490713993</v>
      </c>
      <c r="J27" t="s">
        <v>104</v>
      </c>
    </row>
    <row r="28" spans="1:12" x14ac:dyDescent="0.25">
      <c r="A28" s="1" t="s">
        <v>3</v>
      </c>
      <c r="B28">
        <v>1.1499999999999999</v>
      </c>
    </row>
    <row r="29" spans="1:12" x14ac:dyDescent="0.25">
      <c r="A29" s="1" t="s">
        <v>4</v>
      </c>
      <c r="B29" s="2">
        <f>B27/B28</f>
        <v>434.78260869565219</v>
      </c>
    </row>
    <row r="30" spans="1:12" x14ac:dyDescent="0.25">
      <c r="A30" s="6" t="s">
        <v>86</v>
      </c>
      <c r="B30" s="3">
        <v>28000</v>
      </c>
    </row>
    <row r="31" spans="1:12" x14ac:dyDescent="0.25">
      <c r="A31" s="6" t="s">
        <v>87</v>
      </c>
      <c r="B31" s="5">
        <v>210000</v>
      </c>
    </row>
    <row r="32" spans="1:12" x14ac:dyDescent="0.25">
      <c r="A32" s="6" t="s">
        <v>12</v>
      </c>
      <c r="B32">
        <f>B31/B30</f>
        <v>7.5</v>
      </c>
    </row>
  </sheetData>
  <conditionalFormatting sqref="H7">
    <cfRule type="cellIs" dxfId="63" priority="85" operator="greaterThan">
      <formula>$I$7</formula>
    </cfRule>
    <cfRule type="cellIs" dxfId="62" priority="86" operator="lessThan">
      <formula>$I$7</formula>
    </cfRule>
  </conditionalFormatting>
  <conditionalFormatting sqref="H8">
    <cfRule type="cellIs" dxfId="61" priority="87" operator="greaterThan">
      <formula>$I$8</formula>
    </cfRule>
    <cfRule type="cellIs" dxfId="60" priority="88" operator="lessThan">
      <formula>$I$8</formula>
    </cfRule>
  </conditionalFormatting>
  <conditionalFormatting sqref="H11">
    <cfRule type="cellIs" dxfId="59" priority="89" operator="lessThan">
      <formula>$I$11</formula>
    </cfRule>
    <cfRule type="cellIs" dxfId="58" priority="90" operator="greaterThan">
      <formula>$I$11</formula>
    </cfRule>
  </conditionalFormatting>
  <conditionalFormatting sqref="H12">
    <cfRule type="cellIs" dxfId="57" priority="91" operator="lessThan">
      <formula>$I$12</formula>
    </cfRule>
    <cfRule type="cellIs" dxfId="56" priority="92" operator="greaterThan">
      <formula>$I$12</formula>
    </cfRule>
  </conditionalFormatting>
  <conditionalFormatting sqref="H13">
    <cfRule type="cellIs" dxfId="55" priority="93" operator="equal">
      <formula>$I$13</formula>
    </cfRule>
    <cfRule type="cellIs" dxfId="54" priority="94" operator="lessThan">
      <formula>$I$13</formula>
    </cfRule>
    <cfRule type="cellIs" dxfId="53" priority="95" operator="greaterThan">
      <formula>$I$13</formula>
    </cfRule>
  </conditionalFormatting>
  <conditionalFormatting sqref="H19">
    <cfRule type="cellIs" dxfId="52" priority="96" operator="equal">
      <formula>$I$19</formula>
    </cfRule>
    <cfRule type="cellIs" dxfId="51" priority="97" operator="lessThan">
      <formula>$I$19</formula>
    </cfRule>
    <cfRule type="cellIs" dxfId="50" priority="98" operator="greaterThan">
      <formula>$I$19</formula>
    </cfRule>
  </conditionalFormatting>
  <conditionalFormatting sqref="B12">
    <cfRule type="cellIs" dxfId="49" priority="146" operator="greaterThan">
      <formula>$D$12</formula>
    </cfRule>
    <cfRule type="cellIs" dxfId="48" priority="147" operator="lessThan">
      <formula>$C$12</formula>
    </cfRule>
    <cfRule type="cellIs" dxfId="47" priority="148" operator="between">
      <formula>$C$12</formula>
      <formula>$D$12</formula>
    </cfRule>
  </conditionalFormatting>
  <conditionalFormatting sqref="B19">
    <cfRule type="cellIs" dxfId="46" priority="158" operator="lessThan">
      <formula>$C$19</formula>
    </cfRule>
    <cfRule type="cellIs" dxfId="45" priority="159" operator="equal">
      <formula>$C$19</formula>
    </cfRule>
    <cfRule type="cellIs" dxfId="44" priority="160" operator="greaterThan">
      <formula>$C$19</formula>
    </cfRule>
  </conditionalFormatting>
  <conditionalFormatting sqref="B18">
    <cfRule type="cellIs" dxfId="43" priority="161" operator="lessThan">
      <formula>$C$18</formula>
    </cfRule>
    <cfRule type="cellIs" dxfId="42" priority="162" operator="equal">
      <formula>$C$18</formula>
    </cfRule>
    <cfRule type="cellIs" dxfId="41" priority="163" operator="greaterThan">
      <formula>$C$18</formula>
    </cfRule>
  </conditionalFormatting>
  <conditionalFormatting sqref="B20">
    <cfRule type="cellIs" dxfId="40" priority="164" operator="lessThan">
      <formula>$C$20</formula>
    </cfRule>
    <cfRule type="cellIs" dxfId="39" priority="165" operator="equal">
      <formula>$C$20</formula>
    </cfRule>
    <cfRule type="cellIs" dxfId="38" priority="166" operator="greaterThan">
      <formula>$C$20</formula>
    </cfRule>
  </conditionalFormatting>
  <conditionalFormatting sqref="H27">
    <cfRule type="cellIs" dxfId="37" priority="167" operator="lessThan">
      <formula>$I$27</formula>
    </cfRule>
    <cfRule type="cellIs" dxfId="36" priority="168" operator="equal">
      <formula>$I$27</formula>
    </cfRule>
    <cfRule type="cellIs" dxfId="35" priority="169" operator="greaterThan">
      <formula>$I$27</formula>
    </cfRule>
  </conditionalFormatting>
  <conditionalFormatting sqref="B3">
    <cfRule type="cellIs" dxfId="34" priority="7" operator="lessThan">
      <formula>$C$3</formula>
    </cfRule>
    <cfRule type="cellIs" dxfId="33" priority="8" operator="equal">
      <formula>$C$3</formula>
    </cfRule>
    <cfRule type="cellIs" dxfId="32" priority="9" operator="greaterThan">
      <formula>$C$3</formula>
    </cfRule>
  </conditionalFormatting>
  <conditionalFormatting sqref="B13">
    <cfRule type="cellIs" dxfId="31" priority="4" operator="lessThan">
      <formula>$C$13</formula>
    </cfRule>
    <cfRule type="cellIs" dxfId="30" priority="5" operator="equal">
      <formula>$C$13</formula>
    </cfRule>
    <cfRule type="cellIs" dxfId="29" priority="6" operator="greaterThan">
      <formula>$C$13</formula>
    </cfRule>
  </conditionalFormatting>
  <conditionalFormatting sqref="H20">
    <cfRule type="cellIs" dxfId="28" priority="1" operator="lessThan">
      <formula>$I$20</formula>
    </cfRule>
    <cfRule type="cellIs" dxfId="27" priority="2" operator="equal">
      <formula>$I$20</formula>
    </cfRule>
    <cfRule type="cellIs" dxfId="26" priority="3" operator="greaterThan">
      <formula>$I$20</formula>
    </cfRule>
  </conditionalFormatting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aux!$A$2:$A$3</xm:f>
          </x14:formula1>
          <xm:sqref>B6</xm:sqref>
        </x14:dataValidation>
        <x14:dataValidation type="list" allowBlank="1" showInputMessage="1" showErrorMessage="1">
          <x14:formula1>
            <xm:f>aux!$B$2:$B$3</xm:f>
          </x14:formula1>
          <xm:sqref>B7</xm:sqref>
        </x14:dataValidation>
        <x14:dataValidation type="list" allowBlank="1" showInputMessage="1" showErrorMessage="1">
          <x14:formula1>
            <xm:f>aux!$C$2:$C$3</xm:f>
          </x14:formula1>
          <xm:sqref>B23</xm:sqref>
        </x14:dataValidation>
        <x14:dataValidation type="list" allowBlank="1" showInputMessage="1" showErrorMessage="1">
          <x14:formula1>
            <xm:f>aux!$D$2:$D$3</xm:f>
          </x14:formula1>
          <xm:sqref>B8</xm:sqref>
        </x14:dataValidation>
        <x14:dataValidation type="list" allowBlank="1" showInputMessage="1" showErrorMessage="1">
          <x14:formula1>
            <xm:f>aux!$H$4:$H$7</xm:f>
          </x14:formula1>
          <xm:sqref>I2:I6 I23:I24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85" zoomScaleNormal="85" workbookViewId="0">
      <selection activeCell="I26" sqref="I26"/>
    </sheetView>
  </sheetViews>
  <sheetFormatPr baseColWidth="10" defaultRowHeight="15" x14ac:dyDescent="0.25"/>
  <cols>
    <col min="5" max="5" width="12.42578125" bestFit="1" customWidth="1"/>
    <col min="6" max="6" width="12" customWidth="1"/>
  </cols>
  <sheetData>
    <row r="1" spans="1:9" x14ac:dyDescent="0.25">
      <c r="A1" t="s">
        <v>84</v>
      </c>
      <c r="F1" t="s">
        <v>91</v>
      </c>
    </row>
    <row r="2" spans="1:9" x14ac:dyDescent="0.25">
      <c r="A2" t="s">
        <v>21</v>
      </c>
      <c r="B2" s="7">
        <v>0.28999999999999998</v>
      </c>
      <c r="F2" t="s">
        <v>12</v>
      </c>
      <c r="G2" s="3">
        <v>14</v>
      </c>
      <c r="H2">
        <f>IF(B5=aux!F2,8,6)</f>
        <v>8</v>
      </c>
      <c r="I2" t="s">
        <v>55</v>
      </c>
    </row>
    <row r="3" spans="1:9" x14ac:dyDescent="0.25">
      <c r="F3" t="s">
        <v>107</v>
      </c>
      <c r="G3" s="4">
        <v>12</v>
      </c>
    </row>
    <row r="4" spans="1:9" x14ac:dyDescent="0.25">
      <c r="A4" t="s">
        <v>82</v>
      </c>
      <c r="F4" t="s">
        <v>49</v>
      </c>
      <c r="G4" s="5" t="s">
        <v>94</v>
      </c>
    </row>
    <row r="5" spans="1:9" x14ac:dyDescent="0.25">
      <c r="A5" t="s">
        <v>48</v>
      </c>
      <c r="B5" s="3" t="s">
        <v>80</v>
      </c>
      <c r="E5" t="s">
        <v>105</v>
      </c>
      <c r="F5" t="s">
        <v>64</v>
      </c>
      <c r="G5" s="11" t="str">
        <f>IF(B5=aux!F2,IF(G4=aux!G2,G2/4+1,""),"")</f>
        <v/>
      </c>
    </row>
    <row r="6" spans="1:9" x14ac:dyDescent="0.25">
      <c r="A6" t="s">
        <v>60</v>
      </c>
      <c r="B6" s="4">
        <v>300</v>
      </c>
      <c r="E6" t="s">
        <v>105</v>
      </c>
      <c r="F6" t="s">
        <v>65</v>
      </c>
      <c r="G6" s="7">
        <v>5</v>
      </c>
      <c r="H6">
        <f>IF(B5=aux!F2,IF(B2&lt;0.12,0,3),0)</f>
        <v>3</v>
      </c>
      <c r="I6" t="s">
        <v>55</v>
      </c>
    </row>
    <row r="7" spans="1:9" x14ac:dyDescent="0.25">
      <c r="A7" t="s">
        <v>61</v>
      </c>
      <c r="B7" s="5">
        <v>300</v>
      </c>
      <c r="E7" t="s">
        <v>106</v>
      </c>
      <c r="F7" t="s">
        <v>66</v>
      </c>
      <c r="G7">
        <f>IF(G5="",IF(B5=aux!F3,"",(G2-2*G6)/2+2),G5)</f>
        <v>4</v>
      </c>
      <c r="H7">
        <f>H6</f>
        <v>3</v>
      </c>
      <c r="I7" t="str">
        <f>I6</f>
        <v>nmin</v>
      </c>
    </row>
    <row r="8" spans="1:9" x14ac:dyDescent="0.25">
      <c r="A8" t="s">
        <v>45</v>
      </c>
      <c r="B8">
        <f>MIN(B6,B7)</f>
        <v>300</v>
      </c>
      <c r="C8">
        <f>IF(B2&lt;0.16,250,300)</f>
        <v>300</v>
      </c>
      <c r="D8" t="s">
        <v>47</v>
      </c>
      <c r="F8" t="s">
        <v>67</v>
      </c>
      <c r="G8" s="10">
        <f>(B7-2*$B$9-$G$3)/(IF(G4=aux!G2,G5,G6)-1)</f>
        <v>57</v>
      </c>
      <c r="H8">
        <f>IF(B2&lt;0.12,10^10,IF(B2&lt;0.16,200,150))</f>
        <v>150</v>
      </c>
      <c r="I8" t="s">
        <v>110</v>
      </c>
    </row>
    <row r="9" spans="1:9" x14ac:dyDescent="0.25">
      <c r="A9" t="s">
        <v>56</v>
      </c>
      <c r="B9" s="7">
        <v>30</v>
      </c>
      <c r="F9" t="s">
        <v>68</v>
      </c>
      <c r="G9" s="10">
        <f>(B6-2*$B$9-$G$3)/(G7-1)</f>
        <v>76</v>
      </c>
      <c r="H9">
        <f>H8</f>
        <v>150</v>
      </c>
      <c r="I9" t="str">
        <f>I8</f>
        <v>dist,max [mm]</v>
      </c>
    </row>
    <row r="10" spans="1:9" x14ac:dyDescent="0.25">
      <c r="A10" t="s">
        <v>62</v>
      </c>
      <c r="B10">
        <f>B6-$B$9-$G$3/2</f>
        <v>264</v>
      </c>
      <c r="F10" t="s">
        <v>51</v>
      </c>
      <c r="G10" s="9">
        <f>G2*PI()*G3^2/4/(B6*B7)</f>
        <v>1.7592918860102842E-2</v>
      </c>
      <c r="H10">
        <v>0.01</v>
      </c>
      <c r="I10" t="s">
        <v>109</v>
      </c>
    </row>
    <row r="11" spans="1:9" x14ac:dyDescent="0.25">
      <c r="A11" t="s">
        <v>63</v>
      </c>
      <c r="B11">
        <f>B7-$B$9-$G$3/2</f>
        <v>264</v>
      </c>
      <c r="F11" s="1" t="s">
        <v>57</v>
      </c>
      <c r="G11" s="2">
        <f>G10*B21/B19</f>
        <v>0.42223005264246816</v>
      </c>
      <c r="H11" s="2">
        <v>1</v>
      </c>
      <c r="I11" s="1" t="s">
        <v>108</v>
      </c>
    </row>
    <row r="13" spans="1:9" x14ac:dyDescent="0.25">
      <c r="A13" t="s">
        <v>88</v>
      </c>
      <c r="F13" t="s">
        <v>90</v>
      </c>
    </row>
    <row r="14" spans="1:9" x14ac:dyDescent="0.25">
      <c r="A14" t="s">
        <v>53</v>
      </c>
      <c r="B14" s="3">
        <v>25</v>
      </c>
      <c r="F14" t="s">
        <v>98</v>
      </c>
      <c r="G14" s="3">
        <v>8</v>
      </c>
      <c r="H14">
        <f>IF(B2&lt;0.16,6,8)</f>
        <v>8</v>
      </c>
      <c r="I14" t="s">
        <v>58</v>
      </c>
    </row>
    <row r="15" spans="1:9" x14ac:dyDescent="0.25">
      <c r="A15" t="s">
        <v>2</v>
      </c>
      <c r="B15" s="4">
        <v>500</v>
      </c>
      <c r="F15" t="s">
        <v>28</v>
      </c>
      <c r="G15" s="5">
        <v>75</v>
      </c>
      <c r="H15">
        <f>IF(B2&lt;0.12,10^10,IF(B2&lt;0.16,MIN(B8/3,IF(G3&lt;15,100,150)),MIN(B8/4,IF(G3&lt;15,70,100))))</f>
        <v>70</v>
      </c>
      <c r="I15" t="s">
        <v>59</v>
      </c>
    </row>
    <row r="16" spans="1:9" x14ac:dyDescent="0.25">
      <c r="A16" s="1" t="s">
        <v>52</v>
      </c>
      <c r="B16" s="4">
        <v>1.5</v>
      </c>
      <c r="F16" t="s">
        <v>69</v>
      </c>
      <c r="G16">
        <f>IF(B5=aux!F3,"",IF(G4=aux!G2,IF(G8&gt;150,G5,IF((-1)^G5&lt;0,G5/2+0.5,G5/2+1)),IF(G8&gt;150,G6,IF((-1)^G6&lt;0,G6/2+0.5,G6/2+1))))</f>
        <v>3</v>
      </c>
      <c r="H16" t="s">
        <v>79</v>
      </c>
    </row>
    <row r="17" spans="1:8" x14ac:dyDescent="0.25">
      <c r="A17" s="1" t="s">
        <v>3</v>
      </c>
      <c r="B17" s="4">
        <v>1.1499999999999999</v>
      </c>
      <c r="F17" t="s">
        <v>70</v>
      </c>
      <c r="G17">
        <f>IF(G4=aux!G2,G16,IF(G9&gt;150,G7,IF((-1)^G7&lt;0,G7/2+0.5,G7/2+1)))</f>
        <v>3</v>
      </c>
      <c r="H17" t="s">
        <v>79</v>
      </c>
    </row>
    <row r="18" spans="1:8" x14ac:dyDescent="0.25">
      <c r="A18" s="1" t="s">
        <v>96</v>
      </c>
      <c r="B18" s="5">
        <v>1</v>
      </c>
    </row>
    <row r="19" spans="1:8" x14ac:dyDescent="0.25">
      <c r="A19" t="s">
        <v>97</v>
      </c>
      <c r="B19" s="2">
        <f>B14/B16*B18</f>
        <v>16.666666666666668</v>
      </c>
    </row>
    <row r="20" spans="1:8" x14ac:dyDescent="0.25">
      <c r="A20" t="s">
        <v>4</v>
      </c>
      <c r="B20" s="2">
        <f>B15/B17</f>
        <v>434.78260869565219</v>
      </c>
    </row>
    <row r="21" spans="1:8" x14ac:dyDescent="0.25">
      <c r="A21" t="s">
        <v>54</v>
      </c>
      <c r="B21" s="2">
        <f>MIN(B20,400)</f>
        <v>400</v>
      </c>
    </row>
  </sheetData>
  <conditionalFormatting sqref="G14">
    <cfRule type="cellIs" dxfId="25" priority="82" operator="lessThan">
      <formula>$H$14</formula>
    </cfRule>
    <cfRule type="cellIs" dxfId="24" priority="83" operator="equal">
      <formula>$H$14</formula>
    </cfRule>
    <cfRule type="cellIs" dxfId="23" priority="84" operator="greaterThan">
      <formula>$H$14</formula>
    </cfRule>
  </conditionalFormatting>
  <conditionalFormatting sqref="G15">
    <cfRule type="cellIs" dxfId="22" priority="85" operator="lessThan">
      <formula>$H$15</formula>
    </cfRule>
    <cfRule type="cellIs" dxfId="21" priority="86" operator="equal">
      <formula>$H$15</formula>
    </cfRule>
    <cfRule type="cellIs" dxfId="20" priority="87" operator="greaterThan">
      <formula>$H$15</formula>
    </cfRule>
  </conditionalFormatting>
  <conditionalFormatting sqref="B8">
    <cfRule type="cellIs" dxfId="19" priority="91" operator="lessThan">
      <formula>$C$8</formula>
    </cfRule>
    <cfRule type="cellIs" dxfId="18" priority="92" operator="equal">
      <formula>$C$8</formula>
    </cfRule>
    <cfRule type="cellIs" dxfId="17" priority="93" operator="greaterThan">
      <formula>$C$8</formula>
    </cfRule>
  </conditionalFormatting>
  <conditionalFormatting sqref="G2">
    <cfRule type="cellIs" dxfId="16" priority="94" operator="lessThan">
      <formula>$H$2</formula>
    </cfRule>
    <cfRule type="cellIs" dxfId="15" priority="95" operator="equal">
      <formula>$H$2</formula>
    </cfRule>
    <cfRule type="cellIs" dxfId="14" priority="96" operator="greaterThan">
      <formula>$H$2</formula>
    </cfRule>
  </conditionalFormatting>
  <conditionalFormatting sqref="G8:G9">
    <cfRule type="cellIs" dxfId="13" priority="103" operator="equal">
      <formula>$H$8</formula>
    </cfRule>
    <cfRule type="cellIs" dxfId="12" priority="104" operator="lessThan">
      <formula>$H$8</formula>
    </cfRule>
    <cfRule type="cellIs" dxfId="11" priority="105" operator="greaterThan">
      <formula>$H$8</formula>
    </cfRule>
  </conditionalFormatting>
  <conditionalFormatting sqref="G5:G7">
    <cfRule type="cellIs" dxfId="10" priority="182" operator="equal">
      <formula>0</formula>
    </cfRule>
    <cfRule type="cellIs" dxfId="9" priority="183" operator="equal">
      <formula>$H$6</formula>
    </cfRule>
    <cfRule type="cellIs" dxfId="8" priority="184" operator="equal">
      <formula>0</formula>
    </cfRule>
    <cfRule type="cellIs" dxfId="7" priority="185" operator="between">
      <formula>0</formula>
      <formula>$H$6</formula>
    </cfRule>
    <cfRule type="cellIs" dxfId="6" priority="186" operator="greaterThan">
      <formula>$H$6</formula>
    </cfRule>
  </conditionalFormatting>
  <conditionalFormatting sqref="G10">
    <cfRule type="cellIs" dxfId="5" priority="6" operator="greaterThan">
      <formula>$H$10</formula>
    </cfRule>
    <cfRule type="cellIs" dxfId="4" priority="5" operator="equal">
      <formula>$H$10</formula>
    </cfRule>
    <cfRule type="cellIs" dxfId="3" priority="4" operator="lessThan">
      <formula>$H$10</formula>
    </cfRule>
  </conditionalFormatting>
  <conditionalFormatting sqref="G11">
    <cfRule type="cellIs" dxfId="2" priority="3" operator="greaterThan">
      <formula>$H$11</formula>
    </cfRule>
    <cfRule type="cellIs" dxfId="1" priority="2" operator="equal">
      <formula>$H$11</formula>
    </cfRule>
    <cfRule type="cellIs" dxfId="0" priority="1" operator="lessThan">
      <formula>$H$11</formula>
    </cfRule>
  </conditionalFormatting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aux!$F$2:$F$3</xm:f>
          </x14:formula1>
          <xm:sqref>B5</xm:sqref>
        </x14:dataValidation>
        <x14:dataValidation type="list" allowBlank="1" showInputMessage="1" showErrorMessage="1">
          <x14:formula1>
            <xm:f>aux!$G$2:$G$3</xm:f>
          </x14:formula1>
          <xm:sqref>G4</xm:sqref>
        </x14:dataValidation>
        <x14:dataValidation type="list" allowBlank="1" showInputMessage="1" showErrorMessage="1">
          <x14:formula1>
            <xm:f>aux!$H$2:$H$9</xm:f>
          </x14:formula1>
          <xm:sqref>G3</xm:sqref>
        </x14:dataValidation>
        <x14:dataValidation type="list" allowBlank="1" showInputMessage="1" showErrorMessage="1">
          <x14:formula1>
            <xm:f>aux!$H$2:$H$4</xm:f>
          </x14:formula1>
          <xm:sqref>G14</xm:sqref>
        </x14:dataValidation>
        <x14:dataValidation type="list" allowBlank="1" showInputMessage="1" showErrorMessage="1">
          <x14:formula1>
            <xm:f>aux!$I$2:$I$3</xm:f>
          </x14:formula1>
          <xm:sqref>B18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E23" sqref="E23"/>
    </sheetView>
  </sheetViews>
  <sheetFormatPr baseColWidth="10" defaultRowHeight="15" x14ac:dyDescent="0.25"/>
  <sheetData>
    <row r="1" spans="1:9" x14ac:dyDescent="0.25">
      <c r="A1" t="s">
        <v>38</v>
      </c>
      <c r="B1" t="s">
        <v>37</v>
      </c>
      <c r="C1" t="s">
        <v>36</v>
      </c>
      <c r="D1" t="s">
        <v>39</v>
      </c>
      <c r="F1" t="s">
        <v>46</v>
      </c>
      <c r="G1" t="s">
        <v>50</v>
      </c>
      <c r="H1" t="s">
        <v>74</v>
      </c>
      <c r="I1" t="s">
        <v>95</v>
      </c>
    </row>
    <row r="2" spans="1:9" x14ac:dyDescent="0.25">
      <c r="A2" t="s">
        <v>31</v>
      </c>
      <c r="B2" t="s">
        <v>33</v>
      </c>
      <c r="C2" t="s">
        <v>93</v>
      </c>
      <c r="D2" t="s">
        <v>93</v>
      </c>
      <c r="F2" t="s">
        <v>80</v>
      </c>
      <c r="G2" t="s">
        <v>93</v>
      </c>
      <c r="H2">
        <v>6</v>
      </c>
      <c r="I2">
        <v>0.85</v>
      </c>
    </row>
    <row r="3" spans="1:9" x14ac:dyDescent="0.25">
      <c r="A3" t="s">
        <v>32</v>
      </c>
      <c r="B3" t="s">
        <v>35</v>
      </c>
      <c r="C3" t="s">
        <v>94</v>
      </c>
      <c r="D3" t="s">
        <v>94</v>
      </c>
      <c r="F3" t="s">
        <v>81</v>
      </c>
      <c r="G3" t="s">
        <v>94</v>
      </c>
      <c r="H3">
        <v>8</v>
      </c>
      <c r="I3">
        <v>1</v>
      </c>
    </row>
    <row r="4" spans="1:9" x14ac:dyDescent="0.25">
      <c r="H4">
        <v>10</v>
      </c>
    </row>
    <row r="5" spans="1:9" x14ac:dyDescent="0.25">
      <c r="H5">
        <v>12</v>
      </c>
    </row>
    <row r="6" spans="1:9" x14ac:dyDescent="0.25">
      <c r="H6">
        <v>16</v>
      </c>
    </row>
    <row r="7" spans="1:9" x14ac:dyDescent="0.25">
      <c r="H7">
        <v>20</v>
      </c>
    </row>
    <row r="8" spans="1:9" x14ac:dyDescent="0.25">
      <c r="H8">
        <v>25</v>
      </c>
    </row>
    <row r="9" spans="1:9" x14ac:dyDescent="0.25">
      <c r="H9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vigas</vt:lpstr>
      <vt:lpstr>pilares</vt:lpstr>
      <vt:lpstr>aux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2015-01-02T13:12:50Z</dcterms:modified>
</cp:coreProperties>
</file>