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330" windowWidth="19875" windowHeight="7710" activeTab="0"/>
  </bookViews>
  <sheets>
    <sheet name="Propiedades_bases cálculo" sheetId="1" r:id="rId1"/>
    <sheet name="UNIONES MADERA-MADERA" sheetId="2" r:id="rId2"/>
    <sheet name="UNIONES ACERO-MADERA" sheetId="3" r:id="rId3"/>
  </sheets>
  <definedNames>
    <definedName name="A" localSheetId="0">'Propiedades_bases cálculo'!$B$65</definedName>
    <definedName name="CLASES">'Propiedades_bases cálculo'!$C$9:$V$9</definedName>
    <definedName name="CLASES2">'Propiedades_bases cálculo'!$C$9:$AD$9</definedName>
    <definedName name="DURACION">'Propiedades_bases cálculo'!$C$29:$G$29</definedName>
    <definedName name="SERVICIO">'Propiedades_bases cálculo'!$B$30:$B$32</definedName>
    <definedName name="WY" localSheetId="0">'Propiedades_bases cálculo'!$B$66</definedName>
    <definedName name="WZ" localSheetId="0">'Propiedades_bases cálculo'!$B$67</definedName>
  </definedNames>
  <calcPr calcId="125725"/>
</workbook>
</file>

<file path=xl/sharedStrings.xml><?xml version="1.0" encoding="utf-8"?>
<sst xmlns="http://schemas.openxmlformats.org/spreadsheetml/2006/main" count="1313" uniqueCount="426">
  <si>
    <t>BASES DE CÁLCULO (SEGÚN CTE SE-M) Y PROPIEDADES DE LA MADERA (SEGÚN UNE EN-338 Y UNE EN-1194)</t>
  </si>
  <si>
    <t>PROPIEDADES DE LA MADERA</t>
  </si>
  <si>
    <t>MADERA ASERRADA</t>
  </si>
  <si>
    <t>MADERA LAMINADA ENCOLADA</t>
  </si>
  <si>
    <t>CONÍFERAS</t>
  </si>
  <si>
    <t>FRONDOSAS</t>
  </si>
  <si>
    <t>HOMOGÉNEA</t>
  </si>
  <si>
    <t>COMBINADA</t>
  </si>
  <si>
    <t>C14</t>
  </si>
  <si>
    <t>C16</t>
  </si>
  <si>
    <t>C18</t>
  </si>
  <si>
    <t>C20</t>
  </si>
  <si>
    <t>C22</t>
  </si>
  <si>
    <t>C24</t>
  </si>
  <si>
    <t>C27</t>
  </si>
  <si>
    <t>C30</t>
  </si>
  <si>
    <t>C35</t>
  </si>
  <si>
    <t>C40</t>
  </si>
  <si>
    <t>C45</t>
  </si>
  <si>
    <t>C50</t>
  </si>
  <si>
    <t>D18</t>
  </si>
  <si>
    <t>D24</t>
  </si>
  <si>
    <t>D30</t>
  </si>
  <si>
    <t>D35</t>
  </si>
  <si>
    <t>D40</t>
  </si>
  <si>
    <t>D50</t>
  </si>
  <si>
    <t>D60</t>
  </si>
  <si>
    <t>D70</t>
  </si>
  <si>
    <t>GL24h</t>
  </si>
  <si>
    <t>GL28h</t>
  </si>
  <si>
    <t>GL32h</t>
  </si>
  <si>
    <t>GL36h</t>
  </si>
  <si>
    <t>GL24c</t>
  </si>
  <si>
    <t>GL28c</t>
  </si>
  <si>
    <t>GL32c</t>
  </si>
  <si>
    <t>GL36c</t>
  </si>
  <si>
    <t>Resistencia característica N/mm2</t>
  </si>
  <si>
    <t>Flexión</t>
  </si>
  <si>
    <r>
      <t>f</t>
    </r>
    <r>
      <rPr>
        <b/>
        <vertAlign val="subscript"/>
        <sz val="12"/>
        <color theme="1"/>
        <rFont val="Calibri"/>
        <family val="2"/>
        <scheme val="minor"/>
      </rPr>
      <t>m,k</t>
    </r>
  </si>
  <si>
    <t>Tracción paralela</t>
  </si>
  <si>
    <r>
      <t>f</t>
    </r>
    <r>
      <rPr>
        <b/>
        <vertAlign val="subscript"/>
        <sz val="12"/>
        <color theme="1"/>
        <rFont val="Calibri"/>
        <family val="2"/>
        <scheme val="minor"/>
      </rPr>
      <t>t,0,k</t>
    </r>
  </si>
  <si>
    <t>Tracción perpendicular</t>
  </si>
  <si>
    <r>
      <t>f</t>
    </r>
    <r>
      <rPr>
        <b/>
        <vertAlign val="subscript"/>
        <sz val="12"/>
        <color theme="1"/>
        <rFont val="Calibri"/>
        <family val="2"/>
        <scheme val="minor"/>
      </rPr>
      <t>t,90,k</t>
    </r>
  </si>
  <si>
    <t>Compresión paralela</t>
  </si>
  <si>
    <r>
      <t>f</t>
    </r>
    <r>
      <rPr>
        <b/>
        <vertAlign val="subscript"/>
        <sz val="12"/>
        <color theme="1"/>
        <rFont val="Calibri"/>
        <family val="2"/>
        <scheme val="minor"/>
      </rPr>
      <t>c,0,k</t>
    </r>
  </si>
  <si>
    <t>Compresión perpendicular</t>
  </si>
  <si>
    <r>
      <t>f</t>
    </r>
    <r>
      <rPr>
        <b/>
        <vertAlign val="subscript"/>
        <sz val="12"/>
        <color theme="1"/>
        <rFont val="Calibri"/>
        <family val="2"/>
        <scheme val="minor"/>
      </rPr>
      <t>c,90,k</t>
    </r>
  </si>
  <si>
    <t>Cortante</t>
  </si>
  <si>
    <r>
      <t>f</t>
    </r>
    <r>
      <rPr>
        <b/>
        <vertAlign val="subscript"/>
        <sz val="12"/>
        <color theme="1"/>
        <rFont val="Calibri"/>
        <family val="2"/>
        <scheme val="minor"/>
      </rPr>
      <t>v,k</t>
    </r>
  </si>
  <si>
    <r>
      <t>Densidad  kg/m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</si>
  <si>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Densidad característica</t>
  </si>
  <si>
    <r>
      <t>ρ</t>
    </r>
    <r>
      <rPr>
        <b/>
        <vertAlign val="subscript"/>
        <sz val="12"/>
        <color theme="1"/>
        <rFont val="Calibri"/>
        <family val="2"/>
        <scheme val="minor"/>
      </rPr>
      <t>k</t>
    </r>
  </si>
  <si>
    <t>Coeficiente parcial seguridad</t>
  </si>
  <si>
    <r>
      <t>ϒ</t>
    </r>
    <r>
      <rPr>
        <b/>
        <vertAlign val="subscript"/>
        <sz val="12"/>
        <color theme="1"/>
        <rFont val="Calibri"/>
        <family val="2"/>
      </rPr>
      <t>M</t>
    </r>
  </si>
  <si>
    <r>
      <t>Propiedades rigidez N/mm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</si>
  <si>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Mód. elast. Medio paral. Fibra</t>
  </si>
  <si>
    <r>
      <t>E</t>
    </r>
    <r>
      <rPr>
        <b/>
        <vertAlign val="subscript"/>
        <sz val="12"/>
        <color theme="1"/>
        <rFont val="Calibri"/>
        <family val="2"/>
        <scheme val="minor"/>
      </rPr>
      <t>0,med</t>
    </r>
  </si>
  <si>
    <t>Mód. elast. Paral. (5º percent.)</t>
  </si>
  <si>
    <r>
      <t>E</t>
    </r>
    <r>
      <rPr>
        <b/>
        <vertAlign val="subscript"/>
        <sz val="12"/>
        <color theme="1"/>
        <rFont val="Calibri"/>
        <family val="2"/>
      </rPr>
      <t>0,05</t>
    </r>
  </si>
  <si>
    <t>Mód. Elast. Medio perpen. Fibra</t>
  </si>
  <si>
    <r>
      <t>E</t>
    </r>
    <r>
      <rPr>
        <b/>
        <vertAlign val="subscript"/>
        <sz val="12"/>
        <color theme="1"/>
        <rFont val="Calibri"/>
        <family val="2"/>
      </rPr>
      <t>90,med</t>
    </r>
  </si>
  <si>
    <t>Mód. Medio cortante</t>
  </si>
  <si>
    <r>
      <t>G</t>
    </r>
    <r>
      <rPr>
        <b/>
        <vertAlign val="subscript"/>
        <sz val="12"/>
        <color theme="1"/>
        <rFont val="Calibri"/>
        <family val="2"/>
      </rPr>
      <t>med</t>
    </r>
  </si>
  <si>
    <t>Madera maciza/laminada</t>
  </si>
  <si>
    <r>
      <t xml:space="preserve">Factor de modificación </t>
    </r>
    <r>
      <rPr>
        <b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mod</t>
    </r>
  </si>
  <si>
    <t>Clase de duración de la carga</t>
  </si>
  <si>
    <t>Perm.</t>
  </si>
  <si>
    <t>Larga</t>
  </si>
  <si>
    <t>Media</t>
  </si>
  <si>
    <t>Corta</t>
  </si>
  <si>
    <t>Instan.</t>
  </si>
  <si>
    <t>Clase de servicio</t>
  </si>
  <si>
    <r>
      <t xml:space="preserve">Coeficientes simultaneidad </t>
    </r>
    <r>
      <rPr>
        <b/>
        <sz val="11"/>
        <color theme="1"/>
        <rFont val="Calibri"/>
        <family val="2"/>
      </rPr>
      <t>ψ</t>
    </r>
  </si>
  <si>
    <r>
      <t>ψ</t>
    </r>
    <r>
      <rPr>
        <b/>
        <vertAlign val="subscript"/>
        <sz val="11"/>
        <color theme="1"/>
        <rFont val="Calibri"/>
        <family val="2"/>
      </rPr>
      <t>0</t>
    </r>
  </si>
  <si>
    <r>
      <t>ψ</t>
    </r>
    <r>
      <rPr>
        <b/>
        <vertAlign val="subscript"/>
        <sz val="11"/>
        <color theme="1"/>
        <rFont val="Calibri"/>
        <family val="2"/>
      </rPr>
      <t>1</t>
    </r>
  </si>
  <si>
    <r>
      <t>ψ</t>
    </r>
    <r>
      <rPr>
        <b/>
        <vertAlign val="subscript"/>
        <sz val="11"/>
        <color theme="1"/>
        <rFont val="Calibri"/>
        <family val="2"/>
      </rPr>
      <t>2</t>
    </r>
  </si>
  <si>
    <t>Sobrecarga superficial uso (CTE SE AE)</t>
  </si>
  <si>
    <t>Zonas residenciales (Cat. A)</t>
  </si>
  <si>
    <t>Zonas administrativas (Cat. B)</t>
  </si>
  <si>
    <t>Zonas destinadas público (Cat.C)</t>
  </si>
  <si>
    <t>Zonas comerciales (Cat.D)</t>
  </si>
  <si>
    <t>Zonas tráfico y aparcam. Vehículos ligeros con peso&lt;30KN (cat.E)</t>
  </si>
  <si>
    <t>Cubiertas transitables (Cat.F)</t>
  </si>
  <si>
    <t>Cubiertas accesibles manten. (Cat.G)</t>
  </si>
  <si>
    <t>Nieve altitud&gt;1000 m</t>
  </si>
  <si>
    <r>
      <t>Nieve altitud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1000 m</t>
    </r>
  </si>
  <si>
    <t>Viento</t>
  </si>
  <si>
    <t>Temperatura</t>
  </si>
  <si>
    <t>Acciones variables terreno</t>
  </si>
  <si>
    <t>COMPROBACIÓN DE SECCIONES. ESTADOS LÍMITE ÚLTIMOS.</t>
  </si>
  <si>
    <t>TIPO MATERIAL</t>
  </si>
  <si>
    <t>Clase resistente</t>
  </si>
  <si>
    <r>
      <t xml:space="preserve">Coeficiente parcial seguridad </t>
    </r>
    <r>
      <rPr>
        <sz val="11"/>
        <color theme="1"/>
        <rFont val="Calibri"/>
        <family val="2"/>
      </rPr>
      <t>ϒ</t>
    </r>
    <r>
      <rPr>
        <vertAlign val="subscript"/>
        <sz val="9.35"/>
        <color theme="1"/>
        <rFont val="Calibri"/>
        <family val="2"/>
      </rPr>
      <t>M</t>
    </r>
  </si>
  <si>
    <t xml:space="preserve">GEOMETRÍA SECCIÓN </t>
  </si>
  <si>
    <r>
      <t xml:space="preserve">Ancho 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(mm)</t>
    </r>
  </si>
  <si>
    <r>
      <t xml:space="preserve">Alto 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(mm)</t>
    </r>
  </si>
  <si>
    <r>
      <t xml:space="preserve">Área 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</si>
  <si>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Módulo resistente W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=bh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/6 (mm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</si>
  <si>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Módulo resistente W</t>
    </r>
    <r>
      <rPr>
        <vertAlign val="subscript"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=hb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/6 (mm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</si>
  <si>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FACTORES DE CORRECCIÓN DE LA RESISTENCIA</t>
  </si>
  <si>
    <r>
      <t>Factor de altura k</t>
    </r>
    <r>
      <rPr>
        <b/>
        <vertAlign val="subscript"/>
        <sz val="11"/>
        <color theme="1"/>
        <rFont val="Calibri"/>
        <family val="2"/>
        <scheme val="minor"/>
      </rPr>
      <t>h</t>
    </r>
  </si>
  <si>
    <t xml:space="preserve">Tracción </t>
  </si>
  <si>
    <r>
      <t>Flexión (M</t>
    </r>
    <r>
      <rPr>
        <b/>
        <vertAlign val="subscript"/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)</t>
    </r>
  </si>
  <si>
    <r>
      <t>Flexión (M</t>
    </r>
    <r>
      <rPr>
        <b/>
        <vertAlign val="subscript"/>
        <sz val="11"/>
        <color theme="1"/>
        <rFont val="Calibri"/>
        <family val="2"/>
        <scheme val="minor"/>
      </rPr>
      <t>z</t>
    </r>
    <r>
      <rPr>
        <b/>
        <sz val="11"/>
        <color theme="1"/>
        <rFont val="Calibri"/>
        <family val="2"/>
        <scheme val="minor"/>
      </rPr>
      <t>)</t>
    </r>
  </si>
  <si>
    <t>MADERA LAMINADA</t>
  </si>
  <si>
    <t>RESISTENCIAS DE CÁLCULO</t>
  </si>
  <si>
    <r>
      <t>Valores de cálculo, R</t>
    </r>
    <r>
      <rPr>
        <b/>
        <vertAlign val="subscript"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=K</t>
    </r>
    <r>
      <rPr>
        <b/>
        <vertAlign val="subscript"/>
        <sz val="11"/>
        <color theme="1"/>
        <rFont val="Calibri"/>
        <family val="2"/>
        <scheme val="minor"/>
      </rPr>
      <t>mod</t>
    </r>
    <r>
      <rPr>
        <b/>
        <sz val="11"/>
        <color theme="1"/>
        <rFont val="Calibri"/>
        <family val="2"/>
        <scheme val="minor"/>
      </rPr>
      <t>*R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</rPr>
      <t>ϒ</t>
    </r>
    <r>
      <rPr>
        <b/>
        <vertAlign val="subscript"/>
        <sz val="9.35"/>
        <color theme="1"/>
        <rFont val="Calibri"/>
        <family val="2"/>
      </rPr>
      <t>M</t>
    </r>
  </si>
  <si>
    <t>ASERRADA</t>
  </si>
  <si>
    <t>LAMINADA ENCOLADA</t>
  </si>
  <si>
    <r>
      <t>R</t>
    </r>
    <r>
      <rPr>
        <b/>
        <vertAlign val="subscript"/>
        <sz val="11"/>
        <color theme="1"/>
        <rFont val="Calibri"/>
        <family val="2"/>
        <scheme val="minor"/>
      </rPr>
      <t>k</t>
    </r>
  </si>
  <si>
    <t>Rk</t>
  </si>
  <si>
    <r>
      <t>K</t>
    </r>
    <r>
      <rPr>
        <b/>
        <vertAlign val="subscript"/>
        <sz val="12"/>
        <color theme="1"/>
        <rFont val="Calibri"/>
        <family val="2"/>
        <scheme val="minor"/>
      </rPr>
      <t>mod</t>
    </r>
  </si>
  <si>
    <r>
      <t>Resistencia característica N/mm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</si>
  <si>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 xml:space="preserve">Flexión </t>
  </si>
  <si>
    <r>
      <t>f</t>
    </r>
    <r>
      <rPr>
        <b/>
        <vertAlign val="subscript"/>
        <sz val="12"/>
        <color theme="1"/>
        <rFont val="Calibri"/>
        <family val="2"/>
        <scheme val="minor"/>
      </rPr>
      <t>m,d</t>
    </r>
  </si>
  <si>
    <r>
      <t>f</t>
    </r>
    <r>
      <rPr>
        <b/>
        <vertAlign val="subscript"/>
        <sz val="12"/>
        <color theme="1"/>
        <rFont val="Calibri"/>
        <family val="2"/>
        <scheme val="minor"/>
      </rPr>
      <t>t,0,d</t>
    </r>
  </si>
  <si>
    <r>
      <t>f</t>
    </r>
    <r>
      <rPr>
        <b/>
        <vertAlign val="subscript"/>
        <sz val="12"/>
        <color theme="1"/>
        <rFont val="Calibri"/>
        <family val="2"/>
        <scheme val="minor"/>
      </rPr>
      <t>t,90,d</t>
    </r>
  </si>
  <si>
    <r>
      <t>f</t>
    </r>
    <r>
      <rPr>
        <b/>
        <vertAlign val="subscript"/>
        <sz val="12"/>
        <color theme="1"/>
        <rFont val="Calibri"/>
        <family val="2"/>
        <scheme val="minor"/>
      </rPr>
      <t>c,0,d</t>
    </r>
  </si>
  <si>
    <r>
      <t>f</t>
    </r>
    <r>
      <rPr>
        <b/>
        <vertAlign val="subscript"/>
        <sz val="12"/>
        <color theme="1"/>
        <rFont val="Calibri"/>
        <family val="2"/>
        <scheme val="minor"/>
      </rPr>
      <t>c,90,d</t>
    </r>
  </si>
  <si>
    <r>
      <t>f</t>
    </r>
    <r>
      <rPr>
        <b/>
        <vertAlign val="subscript"/>
        <sz val="12"/>
        <color theme="1"/>
        <rFont val="Calibri"/>
        <family val="2"/>
        <scheme val="minor"/>
      </rPr>
      <t>v,d</t>
    </r>
  </si>
  <si>
    <t>ESFUERZOS DEBIDOS A ACCIONES Y CLASE DE DURACIÓN DE LAS ACCIONES</t>
  </si>
  <si>
    <t>Permanente</t>
  </si>
  <si>
    <t>Instantánea</t>
  </si>
  <si>
    <t>Cargas perm., peso propio</t>
  </si>
  <si>
    <t>Sobrecarga uso</t>
  </si>
  <si>
    <t>Nieve &gt;1000 m</t>
  </si>
  <si>
    <t>Nieve&lt;1000 m</t>
  </si>
  <si>
    <t>Viento presión</t>
  </si>
  <si>
    <t>Viento succión</t>
  </si>
  <si>
    <t>Sismo</t>
  </si>
  <si>
    <r>
      <t>Axil tracción N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(N)</t>
    </r>
  </si>
  <si>
    <r>
      <t>Axil compresión</t>
    </r>
    <r>
      <rPr>
        <b/>
        <sz val="11"/>
        <color theme="1"/>
        <rFont val="Calibri"/>
        <family val="2"/>
        <scheme val="minor"/>
      </rPr>
      <t xml:space="preserve"> N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 xml:space="preserve"> (N)</t>
    </r>
  </si>
  <si>
    <r>
      <t xml:space="preserve">Momento flector </t>
    </r>
    <r>
      <rPr>
        <b/>
        <sz val="11"/>
        <color theme="1"/>
        <rFont val="Calibri"/>
        <family val="2"/>
        <scheme val="minor"/>
      </rPr>
      <t>M</t>
    </r>
    <r>
      <rPr>
        <b/>
        <vertAlign val="subscript"/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 xml:space="preserve"> (N</t>
    </r>
    <r>
      <rPr>
        <b/>
        <sz val="11"/>
        <color theme="1"/>
        <rFont val="Calibri"/>
        <family val="2"/>
      </rPr>
      <t>·</t>
    </r>
    <r>
      <rPr>
        <b/>
        <sz val="9.35"/>
        <color theme="1"/>
        <rFont val="Calibri"/>
        <family val="2"/>
      </rPr>
      <t>m)</t>
    </r>
  </si>
  <si>
    <r>
      <t xml:space="preserve">Momento flector </t>
    </r>
    <r>
      <rPr>
        <b/>
        <sz val="11"/>
        <color theme="1"/>
        <rFont val="Calibri"/>
        <family val="2"/>
        <scheme val="minor"/>
      </rPr>
      <t>M</t>
    </r>
    <r>
      <rPr>
        <b/>
        <vertAlign val="subscript"/>
        <sz val="11"/>
        <color theme="1"/>
        <rFont val="Calibri"/>
        <family val="2"/>
        <scheme val="minor"/>
      </rPr>
      <t xml:space="preserve">z </t>
    </r>
    <r>
      <rPr>
        <b/>
        <sz val="11"/>
        <color theme="1"/>
        <rFont val="Calibri"/>
        <family val="2"/>
        <scheme val="minor"/>
      </rPr>
      <t>(N</t>
    </r>
    <r>
      <rPr>
        <b/>
        <sz val="11"/>
        <color theme="1"/>
        <rFont val="Calibri"/>
        <family val="2"/>
      </rPr>
      <t>·</t>
    </r>
    <r>
      <rPr>
        <b/>
        <sz val="9.35"/>
        <color theme="1"/>
        <rFont val="Calibri"/>
        <family val="2"/>
      </rPr>
      <t>m)</t>
    </r>
  </si>
  <si>
    <r>
      <t xml:space="preserve">Cortante </t>
    </r>
    <r>
      <rPr>
        <b/>
        <sz val="11"/>
        <color theme="1"/>
        <rFont val="Calibri"/>
        <family val="2"/>
        <scheme val="minor"/>
      </rPr>
      <t>V (N)</t>
    </r>
  </si>
  <si>
    <t>VALORES DE CÁLCULO</t>
  </si>
  <si>
    <r>
      <t>Acciones permanentes (</t>
    </r>
    <r>
      <rPr>
        <sz val="12"/>
        <color theme="1"/>
        <rFont val="Calibri"/>
        <family val="2"/>
      </rPr>
      <t>ϒ</t>
    </r>
    <r>
      <rPr>
        <vertAlign val="subscript"/>
        <sz val="12"/>
        <color theme="1"/>
        <rFont val="Calibri"/>
        <family val="2"/>
      </rPr>
      <t>G</t>
    </r>
    <r>
      <rPr>
        <sz val="12"/>
        <color theme="1"/>
        <rFont val="Calibri"/>
        <family val="2"/>
      </rPr>
      <t>)</t>
    </r>
  </si>
  <si>
    <r>
      <t>Acciones variables (</t>
    </r>
    <r>
      <rPr>
        <sz val="12"/>
        <color theme="1"/>
        <rFont val="Calibri"/>
        <family val="2"/>
      </rPr>
      <t>ϒ</t>
    </r>
    <r>
      <rPr>
        <vertAlign val="subscript"/>
        <sz val="12"/>
        <color theme="1"/>
        <rFont val="Calibri"/>
        <family val="2"/>
      </rPr>
      <t>Q1</t>
    </r>
    <r>
      <rPr>
        <sz val="12"/>
        <color theme="1"/>
        <rFont val="Calibri"/>
        <family val="2"/>
      </rPr>
      <t>·</t>
    </r>
    <r>
      <rPr>
        <sz val="12"/>
        <color theme="1"/>
        <rFont val="Calibri"/>
        <family val="2"/>
        <scheme val="minor"/>
      </rPr>
      <t>Q</t>
    </r>
    <r>
      <rPr>
        <vertAlign val="subscript"/>
        <sz val="12"/>
        <color theme="1"/>
        <rFont val="Calibri"/>
        <family val="2"/>
        <scheme val="minor"/>
      </rPr>
      <t>k,1</t>
    </r>
    <r>
      <rPr>
        <sz val="12"/>
        <color theme="1"/>
        <rFont val="Calibri"/>
        <family val="2"/>
        <scheme val="minor"/>
      </rPr>
      <t>+</t>
    </r>
    <r>
      <rPr>
        <sz val="12"/>
        <color theme="1"/>
        <rFont val="Calibri"/>
        <family val="2"/>
      </rPr>
      <t>ϒ</t>
    </r>
    <r>
      <rPr>
        <vertAlign val="subscript"/>
        <sz val="12"/>
        <color theme="1"/>
        <rFont val="Calibri"/>
        <family val="2"/>
      </rPr>
      <t>Qi</t>
    </r>
    <r>
      <rPr>
        <sz val="12"/>
        <color theme="1"/>
        <rFont val="Calibri"/>
        <family val="2"/>
      </rPr>
      <t>·ψ</t>
    </r>
    <r>
      <rPr>
        <vertAlign val="subscript"/>
        <sz val="12"/>
        <color theme="1"/>
        <rFont val="Calibri"/>
        <family val="2"/>
      </rPr>
      <t>0,i</t>
    </r>
    <r>
      <rPr>
        <sz val="12"/>
        <color theme="1"/>
        <rFont val="Calibri"/>
        <family val="2"/>
      </rPr>
      <t>·</t>
    </r>
    <r>
      <rPr>
        <sz val="12"/>
        <color theme="1"/>
        <rFont val="Calibri"/>
        <family val="2"/>
        <scheme val="minor"/>
      </rPr>
      <t>Q</t>
    </r>
    <r>
      <rPr>
        <vertAlign val="subscript"/>
        <sz val="12"/>
        <color theme="1"/>
        <rFont val="Calibri"/>
        <family val="2"/>
        <scheme val="minor"/>
      </rPr>
      <t>k,i</t>
    </r>
    <r>
      <rPr>
        <sz val="12"/>
        <color theme="1"/>
        <rFont val="Calibri"/>
        <family val="2"/>
        <scheme val="minor"/>
      </rPr>
      <t>)</t>
    </r>
  </si>
  <si>
    <t>Accidentales</t>
  </si>
  <si>
    <t>TOTAL ESFUERZOS</t>
  </si>
  <si>
    <t xml:space="preserve">Permanente </t>
  </si>
  <si>
    <t xml:space="preserve">Media </t>
  </si>
  <si>
    <t>Hipótesis de carga</t>
  </si>
  <si>
    <t>Axil Nt,d(N)</t>
  </si>
  <si>
    <r>
      <t>Axil N</t>
    </r>
    <r>
      <rPr>
        <b/>
        <vertAlign val="subscript"/>
        <sz val="11"/>
        <color theme="1"/>
        <rFont val="Calibri"/>
        <family val="2"/>
        <scheme val="minor"/>
      </rPr>
      <t>c,d</t>
    </r>
    <r>
      <rPr>
        <b/>
        <sz val="11"/>
        <color theme="1"/>
        <rFont val="Calibri"/>
        <family val="2"/>
        <scheme val="minor"/>
      </rPr>
      <t>(N)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</si>
  <si>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y,d</t>
    </r>
    <r>
      <rPr>
        <b/>
        <sz val="11"/>
        <color theme="1"/>
        <rFont val="Calibri"/>
        <family val="2"/>
        <scheme val="minor"/>
      </rPr>
      <t>(N</t>
    </r>
    <r>
      <rPr>
        <b/>
        <sz val="11"/>
        <color theme="1"/>
        <rFont val="Calibri"/>
        <family val="2"/>
      </rPr>
      <t>·</t>
    </r>
    <r>
      <rPr>
        <b/>
        <sz val="9.35"/>
        <color theme="1"/>
        <rFont val="Calibri"/>
        <family val="2"/>
      </rPr>
      <t>m)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</si>
  <si>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z,d</t>
    </r>
    <r>
      <rPr>
        <b/>
        <sz val="11"/>
        <color theme="1"/>
        <rFont val="Calibri"/>
        <family val="2"/>
        <scheme val="minor"/>
      </rPr>
      <t xml:space="preserve"> (N</t>
    </r>
    <r>
      <rPr>
        <b/>
        <sz val="11"/>
        <color theme="1"/>
        <rFont val="Calibri"/>
        <family val="2"/>
      </rPr>
      <t>·</t>
    </r>
    <r>
      <rPr>
        <b/>
        <sz val="9.35"/>
        <color theme="1"/>
        <rFont val="Calibri"/>
        <family val="2"/>
      </rPr>
      <t>m)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</si>
  <si>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 xml:space="preserve"> (N)</t>
    </r>
  </si>
  <si>
    <t>1,5*0,7</t>
  </si>
  <si>
    <t>1,5*0,5</t>
  </si>
  <si>
    <t>1,5*0,6</t>
  </si>
  <si>
    <t>Tracción</t>
  </si>
  <si>
    <t>Compresión</t>
  </si>
  <si>
    <t>Flexión(y)</t>
  </si>
  <si>
    <t>Flexión(z)</t>
  </si>
  <si>
    <t>Flexotracción</t>
  </si>
  <si>
    <t>Comprobación</t>
  </si>
  <si>
    <r>
      <t>I</t>
    </r>
    <r>
      <rPr>
        <b/>
        <vertAlign val="subscript"/>
        <sz val="12"/>
        <color theme="1"/>
        <rFont val="Calibri"/>
        <family val="2"/>
        <scheme val="minor"/>
      </rPr>
      <t>t,0</t>
    </r>
  </si>
  <si>
    <t>Ic,0</t>
  </si>
  <si>
    <r>
      <t>I</t>
    </r>
    <r>
      <rPr>
        <b/>
        <vertAlign val="subscript"/>
        <sz val="12"/>
        <color theme="1"/>
        <rFont val="Calibri"/>
        <family val="2"/>
        <scheme val="minor"/>
      </rPr>
      <t>m,y</t>
    </r>
  </si>
  <si>
    <r>
      <t>I</t>
    </r>
    <r>
      <rPr>
        <b/>
        <vertAlign val="subscript"/>
        <sz val="12"/>
        <color theme="1"/>
        <rFont val="Calibri"/>
        <family val="2"/>
        <scheme val="minor"/>
      </rPr>
      <t>m,z</t>
    </r>
  </si>
  <si>
    <r>
      <t>I</t>
    </r>
    <r>
      <rPr>
        <b/>
        <vertAlign val="subscript"/>
        <sz val="14"/>
        <color theme="1"/>
        <rFont val="Calibri"/>
        <family val="2"/>
        <scheme val="minor"/>
      </rPr>
      <t>v</t>
    </r>
  </si>
  <si>
    <r>
      <t>I</t>
    </r>
    <r>
      <rPr>
        <b/>
        <vertAlign val="subscript"/>
        <sz val="16"/>
        <color theme="1"/>
        <rFont val="Calibri"/>
        <family val="2"/>
        <scheme val="minor"/>
      </rPr>
      <t>t,0</t>
    </r>
  </si>
  <si>
    <r>
      <t>I</t>
    </r>
    <r>
      <rPr>
        <b/>
        <vertAlign val="subscript"/>
        <sz val="16"/>
        <color theme="1"/>
        <rFont val="Calibri"/>
        <family val="2"/>
        <scheme val="minor"/>
      </rPr>
      <t>c,0</t>
    </r>
  </si>
  <si>
    <r>
      <t>I</t>
    </r>
    <r>
      <rPr>
        <b/>
        <vertAlign val="subscript"/>
        <sz val="16"/>
        <color theme="1"/>
        <rFont val="Calibri"/>
        <family val="2"/>
        <scheme val="minor"/>
      </rPr>
      <t>m,y</t>
    </r>
  </si>
  <si>
    <r>
      <t>I</t>
    </r>
    <r>
      <rPr>
        <b/>
        <vertAlign val="subscript"/>
        <sz val="16"/>
        <color theme="1"/>
        <rFont val="Calibri"/>
        <family val="2"/>
        <scheme val="minor"/>
      </rPr>
      <t>m,z</t>
    </r>
  </si>
  <si>
    <r>
      <t>I</t>
    </r>
    <r>
      <rPr>
        <b/>
        <vertAlign val="subscript"/>
        <sz val="16"/>
        <color theme="1"/>
        <rFont val="Calibri"/>
        <family val="2"/>
        <scheme val="minor"/>
      </rPr>
      <t>v</t>
    </r>
  </si>
  <si>
    <r>
      <t>σ</t>
    </r>
    <r>
      <rPr>
        <b/>
        <vertAlign val="subscript"/>
        <sz val="16"/>
        <color theme="1"/>
        <rFont val="Calibri"/>
        <family val="2"/>
      </rPr>
      <t>t,0,d</t>
    </r>
    <r>
      <rPr>
        <b/>
        <sz val="16"/>
        <color theme="1"/>
        <rFont val="Calibri"/>
        <family val="2"/>
      </rPr>
      <t>/f</t>
    </r>
    <r>
      <rPr>
        <b/>
        <vertAlign val="subscript"/>
        <sz val="16"/>
        <color theme="1"/>
        <rFont val="Calibri"/>
        <family val="2"/>
      </rPr>
      <t>t,0,d</t>
    </r>
  </si>
  <si>
    <r>
      <t>σ</t>
    </r>
    <r>
      <rPr>
        <b/>
        <vertAlign val="subscript"/>
        <sz val="16"/>
        <color theme="1"/>
        <rFont val="Calibri"/>
        <family val="2"/>
      </rPr>
      <t>c,0,d</t>
    </r>
    <r>
      <rPr>
        <b/>
        <sz val="16"/>
        <color theme="1"/>
        <rFont val="Calibri"/>
        <family val="2"/>
      </rPr>
      <t>/f</t>
    </r>
    <r>
      <rPr>
        <b/>
        <vertAlign val="subscript"/>
        <sz val="16"/>
        <color theme="1"/>
        <rFont val="Calibri"/>
        <family val="2"/>
      </rPr>
      <t>c,0,d</t>
    </r>
  </si>
  <si>
    <r>
      <t>σ</t>
    </r>
    <r>
      <rPr>
        <b/>
        <vertAlign val="subscript"/>
        <sz val="16"/>
        <color theme="1"/>
        <rFont val="Calibri"/>
        <family val="2"/>
      </rPr>
      <t>m,y,d</t>
    </r>
    <r>
      <rPr>
        <b/>
        <sz val="16"/>
        <color theme="1"/>
        <rFont val="Calibri"/>
        <family val="2"/>
      </rPr>
      <t>/f</t>
    </r>
    <r>
      <rPr>
        <b/>
        <vertAlign val="subscript"/>
        <sz val="16"/>
        <color theme="1"/>
        <rFont val="Calibri"/>
        <family val="2"/>
      </rPr>
      <t>m,y,d</t>
    </r>
  </si>
  <si>
    <r>
      <t>σ</t>
    </r>
    <r>
      <rPr>
        <b/>
        <vertAlign val="subscript"/>
        <sz val="16"/>
        <color theme="1"/>
        <rFont val="Calibri"/>
        <family val="2"/>
      </rPr>
      <t>m,z,d</t>
    </r>
    <r>
      <rPr>
        <b/>
        <sz val="16"/>
        <color theme="1"/>
        <rFont val="Calibri"/>
        <family val="2"/>
      </rPr>
      <t>/f</t>
    </r>
    <r>
      <rPr>
        <b/>
        <vertAlign val="subscript"/>
        <sz val="16"/>
        <color theme="1"/>
        <rFont val="Calibri"/>
        <family val="2"/>
      </rPr>
      <t>m,z,d</t>
    </r>
  </si>
  <si>
    <r>
      <rPr>
        <b/>
        <sz val="16"/>
        <color theme="1"/>
        <rFont val="Calibri"/>
        <family val="2"/>
      </rPr>
      <t>Ƭ</t>
    </r>
    <r>
      <rPr>
        <b/>
        <vertAlign val="subscript"/>
        <sz val="16"/>
        <color theme="1"/>
        <rFont val="Calibri"/>
        <family val="2"/>
        <scheme val="minor"/>
      </rPr>
      <t>d</t>
    </r>
    <r>
      <rPr>
        <b/>
        <sz val="16"/>
        <color theme="1"/>
        <rFont val="Calibri"/>
        <family val="2"/>
        <scheme val="minor"/>
      </rPr>
      <t>/f</t>
    </r>
    <r>
      <rPr>
        <b/>
        <vertAlign val="subscript"/>
        <sz val="16"/>
        <color theme="1"/>
        <rFont val="Calibri"/>
        <family val="2"/>
        <scheme val="minor"/>
      </rPr>
      <t>v,d</t>
    </r>
  </si>
  <si>
    <r>
      <t>Máx(I</t>
    </r>
    <r>
      <rPr>
        <b/>
        <vertAlign val="subscript"/>
        <sz val="16"/>
        <color theme="1"/>
        <rFont val="Calibri"/>
        <family val="2"/>
        <scheme val="minor"/>
      </rPr>
      <t>1</t>
    </r>
    <r>
      <rPr>
        <b/>
        <sz val="16"/>
        <color theme="1"/>
        <rFont val="Calibri"/>
        <family val="2"/>
        <scheme val="minor"/>
      </rPr>
      <t>,I</t>
    </r>
    <r>
      <rPr>
        <b/>
        <vertAlign val="sub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>)</t>
    </r>
  </si>
  <si>
    <t>MADERA/MADERA</t>
  </si>
  <si>
    <r>
      <t xml:space="preserve">Momento plástico </t>
    </r>
    <r>
      <rPr>
        <b/>
        <sz val="11"/>
        <color theme="1"/>
        <rFont val="Calibri"/>
        <family val="2"/>
        <scheme val="minor"/>
      </rPr>
      <t>M</t>
    </r>
    <r>
      <rPr>
        <b/>
        <vertAlign val="subscript"/>
        <sz val="11"/>
        <color theme="1"/>
        <rFont val="Calibri"/>
        <family val="2"/>
        <scheme val="minor"/>
      </rPr>
      <t xml:space="preserve">y,Rk </t>
    </r>
    <r>
      <rPr>
        <sz val="11"/>
        <color theme="1"/>
        <rFont val="Calibri"/>
        <family val="2"/>
        <scheme val="minor"/>
      </rPr>
      <t>(N</t>
    </r>
    <r>
      <rPr>
        <sz val="11"/>
        <color theme="1"/>
        <rFont val="Calibri"/>
        <family val="2"/>
      </rPr>
      <t>·mm)</t>
    </r>
  </si>
  <si>
    <t>CORTADURA SIMPLE</t>
  </si>
  <si>
    <r>
      <t>Resistencia al aplastamiento</t>
    </r>
    <r>
      <rPr>
        <b/>
        <sz val="11"/>
        <color theme="1"/>
        <rFont val="Calibri"/>
        <family val="2"/>
        <scheme val="minor"/>
      </rPr>
      <t xml:space="preserve"> f</t>
    </r>
    <r>
      <rPr>
        <b/>
        <vertAlign val="subscript"/>
        <sz val="11"/>
        <color theme="1"/>
        <rFont val="Calibri"/>
        <family val="2"/>
        <scheme val="minor"/>
      </rPr>
      <t>h,k</t>
    </r>
    <r>
      <rPr>
        <sz val="11"/>
        <color theme="1"/>
        <rFont val="Calibri"/>
        <family val="2"/>
        <scheme val="minor"/>
      </rPr>
      <t xml:space="preserve"> (N/mm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</si>
  <si>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MATERIAL Y AMBIENTE</t>
  </si>
  <si>
    <r>
      <rPr>
        <b/>
        <sz val="11"/>
        <color theme="1"/>
        <rFont val="Calibri"/>
        <family val="2"/>
      </rPr>
      <t>ρ</t>
    </r>
    <r>
      <rPr>
        <b/>
        <vertAlign val="subscript"/>
        <sz val="11"/>
        <color theme="1"/>
        <rFont val="Calibri"/>
        <family val="2"/>
      </rPr>
      <t>k</t>
    </r>
    <r>
      <rPr>
        <sz val="11"/>
        <color theme="1"/>
        <rFont val="Calibri"/>
        <family val="2"/>
      </rPr>
      <t xml:space="preserve"> densidad caract. (kg/m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)</t>
    </r>
  </si>
  <si>
    <r>
      <rPr>
        <b/>
        <sz val="11"/>
        <color theme="1"/>
        <rFont val="Calibri"/>
        <family val="2"/>
      </rPr>
      <t>t</t>
    </r>
    <r>
      <rPr>
        <b/>
        <vertAlign val="subscript"/>
        <sz val="11"/>
        <color theme="1"/>
        <rFont val="Calibri"/>
        <family val="2"/>
      </rPr>
      <t>1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espesor pieza 1 (mm)</t>
    </r>
  </si>
  <si>
    <r>
      <rPr>
        <b/>
        <sz val="11"/>
        <color theme="1"/>
        <rFont val="Calibri"/>
        <family val="2"/>
      </rPr>
      <t>ρ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</rPr>
      <t xml:space="preserve"> densidad caract. (kg/m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)</t>
    </r>
  </si>
  <si>
    <r>
      <rPr>
        <b/>
        <sz val="11"/>
        <color theme="1"/>
        <rFont val="Calibri"/>
        <family val="2"/>
        <scheme val="minor"/>
      </rPr>
      <t>t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espesor pieza 2 (mm)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</si>
  <si>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mod</t>
    </r>
  </si>
  <si>
    <t>a)</t>
  </si>
  <si>
    <t>b)</t>
  </si>
  <si>
    <t>c)</t>
  </si>
  <si>
    <t>d)</t>
  </si>
  <si>
    <t>e)</t>
  </si>
  <si>
    <t>f)</t>
  </si>
  <si>
    <t>MODOS DE FALLO (clavos sección circular)</t>
  </si>
  <si>
    <r>
      <rPr>
        <b/>
        <sz val="11"/>
        <color theme="1"/>
        <rFont val="Calibri"/>
        <family val="2"/>
        <scheme val="minor"/>
      </rPr>
      <t>F</t>
    </r>
    <r>
      <rPr>
        <b/>
        <vertAlign val="subscript"/>
        <sz val="11"/>
        <color theme="1"/>
        <rFont val="Calibri"/>
        <family val="2"/>
        <scheme val="minor"/>
      </rPr>
      <t>v,Rd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</si>
  <si>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 xml:space="preserve">v,Rk </t>
    </r>
  </si>
  <si>
    <r>
      <t>F</t>
    </r>
    <r>
      <rPr>
        <vertAlign val="subscript"/>
        <sz val="11"/>
        <color theme="1"/>
        <rFont val="Calibri"/>
        <family val="2"/>
        <scheme val="minor"/>
      </rPr>
      <t>v,Rk</t>
    </r>
  </si>
  <si>
    <r>
      <t xml:space="preserve">Momento plástico </t>
    </r>
    <r>
      <rPr>
        <b/>
        <sz val="11"/>
        <color theme="1"/>
        <rFont val="Calibri"/>
        <family val="2"/>
        <scheme val="minor"/>
      </rPr>
      <t>M</t>
    </r>
    <r>
      <rPr>
        <b/>
        <vertAlign val="subscript"/>
        <sz val="11"/>
        <color theme="1"/>
        <rFont val="Calibri"/>
        <family val="2"/>
        <scheme val="minor"/>
      </rPr>
      <t>y,Rk</t>
    </r>
    <r>
      <rPr>
        <sz val="11"/>
        <color theme="1"/>
        <rFont val="Calibri"/>
        <family val="2"/>
        <scheme val="minor"/>
      </rPr>
      <t xml:space="preserve"> (N</t>
    </r>
    <r>
      <rPr>
        <sz val="11"/>
        <color theme="1"/>
        <rFont val="Calibri"/>
        <family val="2"/>
      </rPr>
      <t>·mm)</t>
    </r>
  </si>
  <si>
    <t>perno/pasador/tirafondo d&gt;6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</si>
  <si>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diámetro perno/pasador/tirafondo </t>
    </r>
  </si>
  <si>
    <r>
      <rPr>
        <b/>
        <sz val="11"/>
        <color theme="1"/>
        <rFont val="Calibri"/>
        <family val="2"/>
        <scheme val="minor"/>
      </rPr>
      <t>f</t>
    </r>
    <r>
      <rPr>
        <b/>
        <vertAlign val="subscript"/>
        <sz val="11"/>
        <color theme="1"/>
        <rFont val="Calibri"/>
        <family val="2"/>
        <scheme val="minor"/>
      </rPr>
      <t>u,k</t>
    </r>
    <r>
      <rPr>
        <sz val="11"/>
        <color theme="1"/>
        <rFont val="Calibri"/>
        <family val="2"/>
        <scheme val="minor"/>
      </rPr>
      <t xml:space="preserve"> resist. caract. tracc. (N/mm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</si>
  <si>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f</t>
    </r>
    <r>
      <rPr>
        <b/>
        <vertAlign val="subscript"/>
        <sz val="11"/>
        <color theme="1"/>
        <rFont val="Calibri"/>
        <family val="2"/>
        <scheme val="minor"/>
      </rPr>
      <t>u,k</t>
    </r>
    <r>
      <rPr>
        <sz val="11"/>
        <color theme="1"/>
        <rFont val="Calibri"/>
        <family val="2"/>
        <scheme val="minor"/>
      </rPr>
      <t xml:space="preserve"> resistencia carac. tracc. alambre (N/mm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</si>
  <si>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</rPr>
      <t>t</t>
    </r>
    <r>
      <rPr>
        <b/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espesor pieza 1 (mm)</t>
    </r>
  </si>
  <si>
    <r>
      <rPr>
        <b/>
        <sz val="11"/>
        <color theme="1"/>
        <rFont val="Calibri"/>
        <family val="2"/>
      </rPr>
      <t>t</t>
    </r>
    <r>
      <rPr>
        <b/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espesor pieza 2 (mm)</t>
    </r>
  </si>
  <si>
    <r>
      <rPr>
        <b/>
        <sz val="11"/>
        <color theme="1"/>
        <rFont val="Calibri"/>
        <family val="2"/>
      </rPr>
      <t xml:space="preserve">α </t>
    </r>
    <r>
      <rPr>
        <sz val="11"/>
        <color theme="1"/>
        <rFont val="Calibri"/>
        <family val="2"/>
      </rPr>
      <t>esfuerzo/direcc. fibra</t>
    </r>
    <r>
      <rPr>
        <b/>
        <sz val="11"/>
        <color theme="1"/>
        <rFont val="Calibri"/>
        <family val="2"/>
      </rPr>
      <t xml:space="preserve"> </t>
    </r>
  </si>
  <si>
    <t>MODOS DE FALLO</t>
  </si>
  <si>
    <t>nº elementos necesarios</t>
  </si>
  <si>
    <t>clase de servicio</t>
  </si>
  <si>
    <t xml:space="preserve">clase  duración </t>
  </si>
  <si>
    <r>
      <rPr>
        <b/>
        <sz val="11"/>
        <color theme="1"/>
        <rFont val="Calibri"/>
        <family val="2"/>
      </rPr>
      <t>ϒ</t>
    </r>
    <r>
      <rPr>
        <b/>
        <vertAlign val="subscript"/>
        <sz val="11"/>
        <color theme="1"/>
        <rFont val="Calibri"/>
        <family val="2"/>
      </rPr>
      <t>M</t>
    </r>
  </si>
  <si>
    <t xml:space="preserve">clase duración </t>
  </si>
  <si>
    <r>
      <rPr>
        <b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mod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</si>
  <si>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h,2,k</t>
    </r>
    <r>
      <rPr>
        <b/>
        <sz val="11"/>
        <color theme="1"/>
        <rFont val="Calibri"/>
        <family val="2"/>
        <scheme val="minor"/>
      </rPr>
      <t xml:space="preserve"> (f</t>
    </r>
    <r>
      <rPr>
        <b/>
        <vertAlign val="subscript"/>
        <sz val="11"/>
        <color theme="1"/>
        <rFont val="Calibri"/>
        <family val="2"/>
        <scheme val="minor"/>
      </rPr>
      <t>h,</t>
    </r>
    <r>
      <rPr>
        <b/>
        <vertAlign val="subscript"/>
        <sz val="11"/>
        <color theme="1"/>
        <rFont val="Calibri"/>
        <family val="2"/>
      </rPr>
      <t>α,k</t>
    </r>
    <r>
      <rPr>
        <b/>
        <sz val="11"/>
        <color theme="1"/>
        <rFont val="Calibri"/>
        <family val="2"/>
      </rPr>
      <t>)</t>
    </r>
    <r>
      <rPr>
        <b/>
        <vertAlign val="subscript"/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 xml:space="preserve"> =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</si>
  <si>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 xml:space="preserve">90   </t>
    </r>
    <r>
      <rPr>
        <b/>
        <sz val="11"/>
        <color theme="1"/>
        <rFont val="Calibri"/>
        <family val="2"/>
        <scheme val="minor"/>
      </rPr>
      <t>=</t>
    </r>
  </si>
  <si>
    <t>β=</t>
  </si>
  <si>
    <t>CORTADURA DOBLE</t>
  </si>
  <si>
    <r>
      <rPr>
        <b/>
        <sz val="11"/>
        <color theme="1"/>
        <rFont val="Calibri"/>
        <family val="2"/>
        <scheme val="minor"/>
      </rPr>
      <t>t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espesor pieza lateral (mm)</t>
    </r>
  </si>
  <si>
    <r>
      <rPr>
        <b/>
        <sz val="11"/>
        <color theme="1"/>
        <rFont val="Calibri"/>
        <family val="2"/>
        <scheme val="minor"/>
      </rPr>
      <t>t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espesor pieza central (mm)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</si>
  <si>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v,Rd</t>
    </r>
    <r>
      <rPr>
        <b/>
        <sz val="11"/>
        <color theme="1"/>
        <rFont val="Calibri"/>
        <family val="2"/>
        <scheme val="minor"/>
      </rPr>
      <t xml:space="preserve"> por elemento (doble)</t>
    </r>
  </si>
  <si>
    <r>
      <t xml:space="preserve">Capacidad de carga </t>
    </r>
    <r>
      <rPr>
        <b/>
        <sz val="11"/>
        <color theme="1"/>
        <rFont val="Calibri"/>
        <family val="2"/>
        <scheme val="minor"/>
      </rPr>
      <t>por plano de cortante</t>
    </r>
    <r>
      <rPr>
        <sz val="11"/>
        <color theme="1"/>
        <rFont val="Calibri"/>
        <family val="2"/>
        <scheme val="minor"/>
      </rPr>
      <t xml:space="preserve"> y por elemento</t>
    </r>
    <r>
      <rPr>
        <b/>
        <sz val="11"/>
        <color theme="1"/>
        <rFont val="Calibri"/>
        <family val="2"/>
        <scheme val="minor"/>
      </rPr>
      <t xml:space="preserve"> F</t>
    </r>
    <r>
      <rPr>
        <b/>
        <vertAlign val="subscript"/>
        <sz val="11"/>
        <color theme="1"/>
        <rFont val="Calibri"/>
        <family val="2"/>
        <scheme val="minor"/>
      </rPr>
      <t xml:space="preserve">v,Rk </t>
    </r>
    <r>
      <rPr>
        <b/>
        <sz val="11"/>
        <color theme="1"/>
        <rFont val="Calibri"/>
        <family val="2"/>
        <scheme val="minor"/>
      </rPr>
      <t>(N)</t>
    </r>
  </si>
  <si>
    <r>
      <t>Capacidad de carga</t>
    </r>
    <r>
      <rPr>
        <b/>
        <sz val="11"/>
        <color theme="1"/>
        <rFont val="Calibri"/>
        <family val="2"/>
        <scheme val="minor"/>
      </rPr>
      <t xml:space="preserve"> por plano de cortante</t>
    </r>
    <r>
      <rPr>
        <sz val="11"/>
        <color theme="1"/>
        <rFont val="Calibri"/>
        <family val="2"/>
        <scheme val="minor"/>
      </rPr>
      <t xml:space="preserve"> y por elemento</t>
    </r>
    <r>
      <rPr>
        <b/>
        <sz val="11"/>
        <color theme="1"/>
        <rFont val="Calibri"/>
        <family val="2"/>
        <scheme val="minor"/>
      </rPr>
      <t xml:space="preserve"> F</t>
    </r>
    <r>
      <rPr>
        <b/>
        <vertAlign val="subscript"/>
        <sz val="11"/>
        <color theme="1"/>
        <rFont val="Calibri"/>
        <family val="2"/>
        <scheme val="minor"/>
      </rPr>
      <t xml:space="preserve">v,Rk </t>
    </r>
    <r>
      <rPr>
        <b/>
        <sz val="11"/>
        <color theme="1"/>
        <rFont val="Calibri"/>
        <family val="2"/>
        <scheme val="minor"/>
      </rPr>
      <t>(N)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</si>
  <si>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h,1,k</t>
    </r>
    <r>
      <rPr>
        <b/>
        <sz val="11"/>
        <color theme="1"/>
        <rFont val="Calibri"/>
        <family val="2"/>
        <scheme val="minor"/>
      </rPr>
      <t xml:space="preserve"> (f</t>
    </r>
    <r>
      <rPr>
        <b/>
        <vertAlign val="subscript"/>
        <sz val="11"/>
        <color theme="1"/>
        <rFont val="Calibri"/>
        <family val="2"/>
        <scheme val="minor"/>
      </rPr>
      <t>h,</t>
    </r>
    <r>
      <rPr>
        <b/>
        <vertAlign val="subscript"/>
        <sz val="11"/>
        <color theme="1"/>
        <rFont val="Calibri"/>
        <family val="2"/>
      </rPr>
      <t>α</t>
    </r>
    <r>
      <rPr>
        <b/>
        <vertAlign val="subscript"/>
        <sz val="11"/>
        <color theme="1"/>
        <rFont val="Calibri"/>
        <family val="2"/>
        <scheme val="minor"/>
      </rPr>
      <t>,k</t>
    </r>
    <r>
      <rPr>
        <b/>
        <sz val="11"/>
        <color theme="1"/>
        <rFont val="Calibri"/>
        <family val="2"/>
        <scheme val="minor"/>
      </rPr>
      <t>)  =</t>
    </r>
  </si>
  <si>
    <r>
      <t>(perno/pasador 6&lt;=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&lt;=30 mm; tirafondo 6&lt;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&lt;=24 mm)</t>
    </r>
  </si>
  <si>
    <r>
      <t xml:space="preserve">        (f</t>
    </r>
    <r>
      <rPr>
        <b/>
        <vertAlign val="subscript"/>
        <sz val="11"/>
        <color theme="1"/>
        <rFont val="Calibri"/>
        <family val="2"/>
        <scheme val="minor"/>
      </rPr>
      <t>h,0,k</t>
    </r>
    <r>
      <rPr>
        <b/>
        <sz val="11"/>
        <color theme="1"/>
        <rFont val="Calibri"/>
        <family val="2"/>
        <scheme val="minor"/>
      </rPr>
      <t>)  =</t>
    </r>
  </si>
  <si>
    <r>
      <t xml:space="preserve">        (f</t>
    </r>
    <r>
      <rPr>
        <b/>
        <vertAlign val="subscript"/>
        <sz val="11"/>
        <color theme="1"/>
        <rFont val="Calibri"/>
        <family val="2"/>
        <scheme val="minor"/>
      </rPr>
      <t>h,0</t>
    </r>
    <r>
      <rPr>
        <b/>
        <vertAlign val="subscript"/>
        <sz val="11"/>
        <color theme="1"/>
        <rFont val="Calibri"/>
        <family val="2"/>
      </rPr>
      <t>,k</t>
    </r>
    <r>
      <rPr>
        <b/>
        <sz val="11"/>
        <color theme="1"/>
        <rFont val="Calibri"/>
        <family val="2"/>
      </rPr>
      <t>)</t>
    </r>
    <r>
      <rPr>
        <b/>
        <vertAlign val="subscript"/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 xml:space="preserve"> =</t>
    </r>
  </si>
  <si>
    <t>DISPOSICIONES CONSTRUCTIVAS</t>
  </si>
  <si>
    <t>CLAVOS</t>
  </si>
  <si>
    <t>1,9 mm</t>
  </si>
  <si>
    <r>
      <t>diámetro mín.</t>
    </r>
    <r>
      <rPr>
        <b/>
        <sz val="11"/>
        <color theme="1"/>
        <rFont val="Calibri"/>
        <family val="2"/>
        <scheme val="minor"/>
      </rPr>
      <t xml:space="preserve"> d (UNE EN 14592)</t>
    </r>
  </si>
  <si>
    <r>
      <t>diámetro máx.</t>
    </r>
    <r>
      <rPr>
        <b/>
        <sz val="11"/>
        <color theme="1"/>
        <rFont val="Calibri"/>
        <family val="2"/>
        <scheme val="minor"/>
      </rPr>
      <t xml:space="preserve"> d (UNE EN 14592)</t>
    </r>
  </si>
  <si>
    <t xml:space="preserve">       8 mm </t>
  </si>
  <si>
    <t>nº mínimo clavos/unión</t>
  </si>
  <si>
    <t>Pretaladros:</t>
  </si>
  <si>
    <r>
      <t>diámetro pretaladro  entre 0,7·</t>
    </r>
    <r>
      <rPr>
        <sz val="9.35"/>
        <color theme="1"/>
        <rFont val="Calibri"/>
        <family val="2"/>
      </rPr>
      <t>d y 0,8·</t>
    </r>
    <r>
      <rPr>
        <sz val="7.95"/>
        <color theme="1"/>
        <rFont val="Calibri"/>
        <family val="2"/>
      </rPr>
      <t>d</t>
    </r>
  </si>
  <si>
    <r>
      <t>•</t>
    </r>
    <r>
      <rPr>
        <sz val="9.35"/>
        <color theme="1"/>
        <rFont val="Calibri"/>
        <family val="2"/>
      </rPr>
      <t xml:space="preserve"> si el espesor de la pieza de madera</t>
    </r>
    <r>
      <rPr>
        <b/>
        <sz val="9.35"/>
        <color theme="1"/>
        <rFont val="Calibri"/>
        <family val="2"/>
      </rPr>
      <t xml:space="preserve"> t </t>
    </r>
    <r>
      <rPr>
        <sz val="9.35"/>
        <color theme="1"/>
        <rFont val="Calibri"/>
        <family val="2"/>
      </rPr>
      <t>es menor que: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</si>
  <si>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 máx(7</t>
    </r>
    <r>
      <rPr>
        <sz val="11"/>
        <color theme="1"/>
        <rFont val="Calibri"/>
        <family val="2"/>
      </rPr>
      <t>·</t>
    </r>
    <r>
      <rPr>
        <sz val="9.35"/>
        <color theme="1"/>
        <rFont val="Calibri"/>
        <family val="2"/>
      </rPr>
      <t>d; (13·</t>
    </r>
    <r>
      <rPr>
        <sz val="11"/>
        <color theme="1"/>
        <rFont val="Calibri"/>
        <family val="2"/>
        <scheme val="minor"/>
      </rPr>
      <t>d-30)</t>
    </r>
    <r>
      <rPr>
        <sz val="11"/>
        <color theme="1"/>
        <rFont val="Calibri"/>
        <family val="2"/>
      </rPr>
      <t>·</t>
    </r>
    <r>
      <rPr>
        <sz val="9.35"/>
        <color theme="1"/>
        <rFont val="Calibri"/>
        <family val="2"/>
      </rPr>
      <t>ρ</t>
    </r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/400)</t>
    </r>
  </si>
  <si>
    <r>
      <t>Penetración del clavo en la madera entre 10</t>
    </r>
    <r>
      <rPr>
        <sz val="11"/>
        <color theme="1"/>
        <rFont val="Calibri"/>
        <family val="2"/>
      </rPr>
      <t>·</t>
    </r>
    <r>
      <rPr>
        <sz val="9.35"/>
        <color theme="1"/>
        <rFont val="Calibri"/>
        <family val="2"/>
      </rPr>
      <t>d y 12·</t>
    </r>
    <r>
      <rPr>
        <sz val="11"/>
        <color theme="1"/>
        <rFont val="Calibri"/>
        <family val="2"/>
        <scheme val="minor"/>
      </rPr>
      <t>d</t>
    </r>
  </si>
  <si>
    <t>TIRAFONDOS</t>
  </si>
  <si>
    <t>2,4 mm</t>
  </si>
  <si>
    <t>24 mm</t>
  </si>
  <si>
    <r>
      <t xml:space="preserve">• </t>
    </r>
    <r>
      <rPr>
        <sz val="9.35"/>
        <color theme="1"/>
        <rFont val="Calibri"/>
        <family val="2"/>
      </rPr>
      <t xml:space="preserve">si </t>
    </r>
    <r>
      <rPr>
        <b/>
        <sz val="11"/>
        <color theme="1"/>
        <rFont val="Calibri"/>
        <family val="2"/>
      </rPr>
      <t>ρ</t>
    </r>
    <r>
      <rPr>
        <b/>
        <vertAlign val="subscript"/>
        <sz val="9.35"/>
        <color theme="1"/>
        <rFont val="Calibri"/>
        <family val="2"/>
      </rPr>
      <t>k</t>
    </r>
    <r>
      <rPr>
        <sz val="9.35"/>
        <color theme="1"/>
        <rFont val="Calibri"/>
        <family val="2"/>
      </rPr>
      <t xml:space="preserve"> ≥ 500 kg/m</t>
    </r>
    <r>
      <rPr>
        <vertAlign val="superscript"/>
        <sz val="9.35"/>
        <color theme="1"/>
        <rFont val="Calibri"/>
        <family val="2"/>
      </rPr>
      <t>3</t>
    </r>
    <r>
      <rPr>
        <sz val="9.35"/>
        <color theme="1"/>
        <rFont val="Calibri"/>
        <family val="2"/>
      </rPr>
      <t xml:space="preserve"> (maderas frondosas) ó cuando </t>
    </r>
    <r>
      <rPr>
        <b/>
        <sz val="9.35"/>
        <color theme="1"/>
        <rFont val="Calibri"/>
        <family val="2"/>
      </rPr>
      <t>d</t>
    </r>
    <r>
      <rPr>
        <sz val="9.35"/>
        <color theme="1"/>
        <rFont val="Calibri"/>
        <family val="2"/>
      </rPr>
      <t>&gt;6 mm</t>
    </r>
  </si>
  <si>
    <r>
      <t>• si ρ</t>
    </r>
    <r>
      <rPr>
        <vertAlign val="subscript"/>
        <sz val="11"/>
        <color theme="1"/>
        <rFont val="Calibri"/>
        <family val="2"/>
      </rPr>
      <t>k</t>
    </r>
    <r>
      <rPr>
        <sz val="11"/>
        <color theme="1"/>
        <rFont val="Calibri"/>
        <family val="2"/>
      </rPr>
      <t xml:space="preserve"> ≥ 500 kg/m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 xml:space="preserve"> (maderas frondosas)</t>
    </r>
  </si>
  <si>
    <r>
      <t>•</t>
    </r>
    <r>
      <rPr>
        <sz val="9.35"/>
        <color theme="1"/>
        <rFont val="Calibri"/>
        <family val="2"/>
      </rPr>
      <t xml:space="preserve"> en coníferas con diámetro d ≥ 6 mm</t>
    </r>
  </si>
  <si>
    <t>6 mm</t>
  </si>
  <si>
    <t>30 mm</t>
  </si>
  <si>
    <t>PERNOS/PASADORES</t>
  </si>
  <si>
    <t xml:space="preserve"> 0º ≤ α ≤ 360º</t>
  </si>
  <si>
    <t>-90º ≤ α ≤ 90º</t>
  </si>
  <si>
    <t xml:space="preserve"> 90º ≤ α ≤ 270º</t>
  </si>
  <si>
    <t>0º ≤ α ≤ 180º</t>
  </si>
  <si>
    <t>180º ≤ α ≤ 360º</t>
  </si>
  <si>
    <r>
      <rPr>
        <b/>
        <sz val="11"/>
        <color theme="1"/>
        <rFont val="Calibri"/>
        <family val="2"/>
        <scheme val="minor"/>
      </rPr>
      <t>a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(paral. fibra)</t>
    </r>
  </si>
  <si>
    <r>
      <rPr>
        <b/>
        <sz val="11"/>
        <color theme="1"/>
        <rFont val="Calibri"/>
        <family val="2"/>
        <scheme val="minor"/>
      </rPr>
      <t>a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(perpend. fibra)</t>
    </r>
  </si>
  <si>
    <r>
      <rPr>
        <b/>
        <sz val="11"/>
        <color theme="1"/>
        <rFont val="Calibri"/>
        <family val="2"/>
        <scheme val="minor"/>
      </rPr>
      <t>a</t>
    </r>
    <r>
      <rPr>
        <b/>
        <vertAlign val="subscript"/>
        <sz val="11"/>
        <color theme="1"/>
        <rFont val="Calibri"/>
        <family val="2"/>
        <scheme val="minor"/>
      </rPr>
      <t>3,t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(testa cargada) </t>
    </r>
  </si>
  <si>
    <r>
      <rPr>
        <b/>
        <sz val="11"/>
        <color theme="1"/>
        <rFont val="Calibri"/>
        <family val="2"/>
        <scheme val="minor"/>
      </rPr>
      <t>a</t>
    </r>
    <r>
      <rPr>
        <b/>
        <vertAlign val="subscript"/>
        <sz val="11"/>
        <color theme="1"/>
        <rFont val="Calibri"/>
        <family val="2"/>
        <scheme val="minor"/>
      </rPr>
      <t>3,c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(testa no cargada)</t>
    </r>
  </si>
  <si>
    <r>
      <rPr>
        <b/>
        <sz val="11"/>
        <color theme="1"/>
        <rFont val="Calibri"/>
        <family val="2"/>
        <scheme val="minor"/>
      </rPr>
      <t>a</t>
    </r>
    <r>
      <rPr>
        <b/>
        <vertAlign val="subscript"/>
        <sz val="11"/>
        <color theme="1"/>
        <rFont val="Calibri"/>
        <family val="2"/>
        <scheme val="minor"/>
      </rPr>
      <t>4,t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(borde cargado) </t>
    </r>
  </si>
  <si>
    <r>
      <rPr>
        <b/>
        <sz val="11"/>
        <color theme="1"/>
        <rFont val="Calibri"/>
        <family val="2"/>
        <scheme val="minor"/>
      </rPr>
      <t>a</t>
    </r>
    <r>
      <rPr>
        <b/>
        <vertAlign val="subscript"/>
        <sz val="11"/>
        <color theme="1"/>
        <rFont val="Calibri"/>
        <family val="2"/>
        <scheme val="minor"/>
      </rPr>
      <t>4,c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(borde no cargado)  </t>
    </r>
  </si>
  <si>
    <t>5d</t>
  </si>
  <si>
    <r>
      <t>(10+5cos</t>
    </r>
    <r>
      <rPr>
        <sz val="11"/>
        <color theme="1"/>
        <rFont val="Calibri"/>
        <family val="2"/>
      </rPr>
      <t>α</t>
    </r>
    <r>
      <rPr>
        <sz val="9.35"/>
        <color theme="1"/>
        <rFont val="Calibri"/>
        <family val="2"/>
      </rPr>
      <t>)d</t>
    </r>
  </si>
  <si>
    <t>10d</t>
  </si>
  <si>
    <r>
      <t>(7+8</t>
    </r>
    <r>
      <rPr>
        <sz val="11"/>
        <color theme="1"/>
        <rFont val="Calibri"/>
        <family val="2"/>
      </rPr>
      <t>|</t>
    </r>
    <r>
      <rPr>
        <sz val="9.35"/>
        <color theme="1"/>
        <rFont val="Calibri"/>
        <family val="2"/>
      </rPr>
      <t>cosα|)d</t>
    </r>
  </si>
  <si>
    <t>7d</t>
  </si>
  <si>
    <r>
      <t>(15+5cos</t>
    </r>
    <r>
      <rPr>
        <sz val="11"/>
        <color theme="1"/>
        <rFont val="Calibri"/>
        <family val="2"/>
      </rPr>
      <t>α</t>
    </r>
    <r>
      <rPr>
        <sz val="9.35"/>
        <color theme="1"/>
        <rFont val="Calibri"/>
        <family val="2"/>
      </rPr>
      <t>)d</t>
    </r>
  </si>
  <si>
    <t>15d</t>
  </si>
  <si>
    <r>
      <t>(4+</t>
    </r>
    <r>
      <rPr>
        <sz val="11"/>
        <color theme="1"/>
        <rFont val="Calibri"/>
        <family val="2"/>
      </rPr>
      <t>|</t>
    </r>
    <r>
      <rPr>
        <sz val="9.35"/>
        <color theme="1"/>
        <rFont val="Calibri"/>
        <family val="2"/>
      </rPr>
      <t>cosα|)d</t>
    </r>
  </si>
  <si>
    <r>
      <t>(3+</t>
    </r>
    <r>
      <rPr>
        <sz val="11"/>
        <color theme="1"/>
        <rFont val="Calibri"/>
        <family val="2"/>
      </rPr>
      <t>|sen</t>
    </r>
    <r>
      <rPr>
        <sz val="9.35"/>
        <color theme="1"/>
        <rFont val="Calibri"/>
        <family val="2"/>
      </rPr>
      <t>α|)d</t>
    </r>
  </si>
  <si>
    <r>
      <t>(7+5cos</t>
    </r>
    <r>
      <rPr>
        <sz val="11"/>
        <color theme="1"/>
        <rFont val="Calibri"/>
        <family val="2"/>
      </rPr>
      <t>α</t>
    </r>
    <r>
      <rPr>
        <sz val="9.35"/>
        <color theme="1"/>
        <rFont val="Calibri"/>
        <family val="2"/>
      </rPr>
      <t>)d</t>
    </r>
  </si>
  <si>
    <t>3d</t>
  </si>
  <si>
    <t>Distancia mínima</t>
  </si>
  <si>
    <t>Separaciones y distancias mínimas</t>
  </si>
  <si>
    <t>Con pretaladro</t>
  </si>
  <si>
    <t>Sin pretaladro</t>
  </si>
  <si>
    <r>
      <rPr>
        <sz val="11"/>
        <color theme="1"/>
        <rFont val="Calibri"/>
        <family val="2"/>
      </rPr>
      <t>ρ</t>
    </r>
    <r>
      <rPr>
        <vertAlign val="subscript"/>
        <sz val="11"/>
        <color theme="1"/>
        <rFont val="Calibri"/>
        <family val="2"/>
        <scheme val="minor"/>
      </rPr>
      <t xml:space="preserve">k </t>
    </r>
    <r>
      <rPr>
        <sz val="9.35"/>
        <color theme="1"/>
        <rFont val="Calibri"/>
        <family val="2"/>
      </rPr>
      <t>≤ 420 kg/m</t>
    </r>
    <r>
      <rPr>
        <vertAlign val="superscript"/>
        <sz val="9.35"/>
        <color theme="1"/>
        <rFont val="Calibri"/>
        <family val="2"/>
      </rPr>
      <t>3</t>
    </r>
  </si>
  <si>
    <r>
      <t>420 kg/m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</rPr>
      <t>˂ρ</t>
    </r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</rPr>
      <t>≤</t>
    </r>
    <r>
      <rPr>
        <sz val="9.35"/>
        <color theme="1"/>
        <rFont val="Calibri"/>
        <family val="2"/>
      </rPr>
      <t>500 kg/m</t>
    </r>
    <r>
      <rPr>
        <vertAlign val="superscript"/>
        <sz val="9.35"/>
        <color theme="1"/>
        <rFont val="Calibri"/>
        <family val="2"/>
      </rPr>
      <t>3</t>
    </r>
  </si>
  <si>
    <r>
      <t>d &lt; 5 mm; (5+5</t>
    </r>
    <r>
      <rPr>
        <sz val="11"/>
        <color theme="1"/>
        <rFont val="Calibri"/>
        <family val="2"/>
      </rPr>
      <t>|</t>
    </r>
    <r>
      <rPr>
        <sz val="9.35"/>
        <color theme="1"/>
        <rFont val="Calibri"/>
        <family val="2"/>
      </rPr>
      <t>cosα|</t>
    </r>
    <r>
      <rPr>
        <sz val="11"/>
        <color theme="1"/>
        <rFont val="Calibri"/>
        <family val="2"/>
        <scheme val="minor"/>
      </rPr>
      <t xml:space="preserve">)d  d </t>
    </r>
    <r>
      <rPr>
        <sz val="11"/>
        <color theme="1"/>
        <rFont val="Calibri"/>
        <family val="2"/>
      </rPr>
      <t>≥</t>
    </r>
    <r>
      <rPr>
        <sz val="9.35"/>
        <color theme="1"/>
        <rFont val="Calibri"/>
        <family val="2"/>
      </rPr>
      <t xml:space="preserve"> 5 mm; (5+7|cosα|)d</t>
    </r>
  </si>
  <si>
    <r>
      <t>d &lt; 5 mm; (5+2</t>
    </r>
    <r>
      <rPr>
        <sz val="11"/>
        <color theme="1"/>
        <rFont val="Calibri"/>
        <family val="2"/>
      </rPr>
      <t>sen</t>
    </r>
    <r>
      <rPr>
        <sz val="9.35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 xml:space="preserve">)d d </t>
    </r>
    <r>
      <rPr>
        <sz val="11"/>
        <color theme="1"/>
        <rFont val="Calibri"/>
        <family val="2"/>
      </rPr>
      <t>≥</t>
    </r>
    <r>
      <rPr>
        <sz val="9.35"/>
        <color theme="1"/>
        <rFont val="Calibri"/>
        <family val="2"/>
      </rPr>
      <t xml:space="preserve"> 5 mm;  (5+5senα)d</t>
    </r>
  </si>
  <si>
    <r>
      <t>d &lt; 5 mm; (7+2</t>
    </r>
    <r>
      <rPr>
        <sz val="11"/>
        <color theme="1"/>
        <rFont val="Calibri"/>
        <family val="2"/>
      </rPr>
      <t>sen</t>
    </r>
    <r>
      <rPr>
        <sz val="9.35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 xml:space="preserve">)d d </t>
    </r>
    <r>
      <rPr>
        <sz val="11"/>
        <color theme="1"/>
        <rFont val="Calibri"/>
        <family val="2"/>
      </rPr>
      <t>≥</t>
    </r>
    <r>
      <rPr>
        <sz val="9.35"/>
        <color theme="1"/>
        <rFont val="Calibri"/>
        <family val="2"/>
      </rPr>
      <t xml:space="preserve"> 5 mm;  (5+5senα)d</t>
    </r>
  </si>
  <si>
    <r>
      <t>d &lt; 5 mm; (3+2</t>
    </r>
    <r>
      <rPr>
        <sz val="11"/>
        <color theme="1"/>
        <rFont val="Calibri"/>
        <family val="2"/>
      </rPr>
      <t>sen</t>
    </r>
    <r>
      <rPr>
        <sz val="9.35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 xml:space="preserve">)d d </t>
    </r>
    <r>
      <rPr>
        <sz val="11"/>
        <color theme="1"/>
        <rFont val="Calibri"/>
        <family val="2"/>
      </rPr>
      <t>≥</t>
    </r>
    <r>
      <rPr>
        <sz val="9.35"/>
        <color theme="1"/>
        <rFont val="Calibri"/>
        <family val="2"/>
      </rPr>
      <t xml:space="preserve"> 5 mm; (3+4senα)d</t>
    </r>
  </si>
  <si>
    <r>
      <t xml:space="preserve">CLAVOS/TIRAFONDOS D </t>
    </r>
    <r>
      <rPr>
        <sz val="14"/>
        <color theme="1"/>
        <rFont val="Calibri"/>
        <family val="2"/>
      </rPr>
      <t xml:space="preserve">≤ </t>
    </r>
    <r>
      <rPr>
        <sz val="11.9"/>
        <color theme="1"/>
        <rFont val="Calibri"/>
        <family val="2"/>
      </rPr>
      <t>6 MM</t>
    </r>
  </si>
  <si>
    <t>PERNOS/PASADORES/TIRAFONDOS D &gt; 6 MM</t>
  </si>
  <si>
    <r>
      <t>diámetro máx.</t>
    </r>
    <r>
      <rPr>
        <b/>
        <sz val="11"/>
        <color theme="1"/>
        <rFont val="Calibri"/>
        <family val="2"/>
        <scheme val="minor"/>
      </rPr>
      <t xml:space="preserve"> d </t>
    </r>
  </si>
  <si>
    <t>6mm</t>
  </si>
  <si>
    <r>
      <t>diámetro mín.</t>
    </r>
    <r>
      <rPr>
        <b/>
        <sz val="11"/>
        <color theme="1"/>
        <rFont val="Calibri"/>
        <family val="2"/>
        <scheme val="minor"/>
      </rPr>
      <t xml:space="preserve"> d</t>
    </r>
  </si>
  <si>
    <t>&gt; 6 mm</t>
  </si>
  <si>
    <r>
      <t xml:space="preserve">diámetro máx. d </t>
    </r>
    <r>
      <rPr>
        <b/>
        <sz val="11"/>
        <color theme="1"/>
        <rFont val="Calibri"/>
        <family val="2"/>
        <scheme val="minor"/>
      </rPr>
      <t>(UNE EN 14592)</t>
    </r>
  </si>
  <si>
    <r>
      <t xml:space="preserve">SEPARACIONES  Y DISTANCIAS EN CLAVOS Y TIRAFONDOS D </t>
    </r>
    <r>
      <rPr>
        <sz val="14"/>
        <color theme="1"/>
        <rFont val="Calibri"/>
        <family val="2"/>
      </rPr>
      <t>≤ 6 MM</t>
    </r>
  </si>
  <si>
    <t>SEPARACIONES Y DISTANCIAS EN PERNOS Y TIRAFONDOS D &gt; 6 MM</t>
  </si>
  <si>
    <t>1) testa cargada</t>
  </si>
  <si>
    <t>2) testa no cargada</t>
  </si>
  <si>
    <t>3) borde cargado</t>
  </si>
  <si>
    <t>4) borde no cargado</t>
  </si>
  <si>
    <t>Separaciones y distancias</t>
  </si>
  <si>
    <t>Ángulo</t>
  </si>
  <si>
    <t xml:space="preserve"> -90º ≤ α ≤ 90º</t>
  </si>
  <si>
    <r>
      <t xml:space="preserve"> 90º ≤ α &lt; 150º   150º  </t>
    </r>
    <r>
      <rPr>
        <sz val="11"/>
        <color theme="1"/>
        <rFont val="Calibri"/>
        <family val="2"/>
      </rPr>
      <t xml:space="preserve">≤ </t>
    </r>
    <r>
      <rPr>
        <sz val="9.35"/>
        <color theme="1"/>
        <rFont val="Calibri"/>
        <family val="2"/>
      </rPr>
      <t xml:space="preserve">α ˂ 210º  150º ≤ α ≤ </t>
    </r>
    <r>
      <rPr>
        <sz val="11"/>
        <color theme="1"/>
        <rFont val="Calibri"/>
        <family val="2"/>
        <scheme val="minor"/>
      </rPr>
      <t>270º</t>
    </r>
  </si>
  <si>
    <t xml:space="preserve"> 0º ≤ α ≤ 180º</t>
  </si>
  <si>
    <t xml:space="preserve"> 180º ≤ α ≤ 360º</t>
  </si>
  <si>
    <t>Separación o distancia mín.</t>
  </si>
  <si>
    <t>(4+|cosα|)d</t>
  </si>
  <si>
    <t>4d</t>
  </si>
  <si>
    <t>max (7d; 80 mm)</t>
  </si>
  <si>
    <r>
      <t>(1+6sen</t>
    </r>
    <r>
      <rPr>
        <sz val="11"/>
        <color theme="1"/>
        <rFont val="Calibri"/>
        <family val="2"/>
      </rPr>
      <t>α</t>
    </r>
    <r>
      <rPr>
        <sz val="9.35"/>
        <color theme="1"/>
        <rFont val="Calibri"/>
        <family val="2"/>
      </rPr>
      <t>)d</t>
    </r>
  </si>
  <si>
    <r>
      <t>max ((2+2sen</t>
    </r>
    <r>
      <rPr>
        <sz val="11"/>
        <color theme="1"/>
        <rFont val="Calibri"/>
        <family val="2"/>
      </rPr>
      <t>α</t>
    </r>
    <r>
      <rPr>
        <sz val="9.35"/>
        <color theme="1"/>
        <rFont val="Calibri"/>
        <family val="2"/>
      </rPr>
      <t>)d;3d)</t>
    </r>
  </si>
  <si>
    <r>
      <rPr>
        <b/>
        <sz val="11"/>
        <color theme="1"/>
        <rFont val="Calibri"/>
        <family val="2"/>
        <scheme val="minor"/>
      </rPr>
      <t>a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(paral. fibra)</t>
    </r>
  </si>
  <si>
    <r>
      <rPr>
        <b/>
        <sz val="11"/>
        <color theme="1"/>
        <rFont val="Calibri"/>
        <family val="2"/>
        <scheme val="minor"/>
      </rPr>
      <t>a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(perperd. fibra)</t>
    </r>
  </si>
  <si>
    <r>
      <rPr>
        <b/>
        <sz val="11"/>
        <color theme="1"/>
        <rFont val="Calibri"/>
        <family val="2"/>
        <scheme val="minor"/>
      </rPr>
      <t>a</t>
    </r>
    <r>
      <rPr>
        <b/>
        <vertAlign val="subscript"/>
        <sz val="11"/>
        <color theme="1"/>
        <rFont val="Calibri"/>
        <family val="2"/>
        <scheme val="minor"/>
      </rPr>
      <t>3,t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(testa cargada)</t>
    </r>
  </si>
  <si>
    <r>
      <rPr>
        <b/>
        <sz val="11"/>
        <color theme="1"/>
        <rFont val="Calibri"/>
        <family val="2"/>
        <scheme val="minor"/>
      </rPr>
      <t>a</t>
    </r>
    <r>
      <rPr>
        <b/>
        <vertAlign val="subscript"/>
        <sz val="11"/>
        <color theme="1"/>
        <rFont val="Calibri"/>
        <family val="2"/>
        <scheme val="minor"/>
      </rPr>
      <t>3,c</t>
    </r>
    <r>
      <rPr>
        <sz val="11"/>
        <color theme="1"/>
        <rFont val="Calibri"/>
        <family val="2"/>
        <scheme val="minor"/>
      </rPr>
      <t xml:space="preserve"> (testa no cargada)</t>
    </r>
  </si>
  <si>
    <r>
      <rPr>
        <b/>
        <sz val="11"/>
        <color theme="1"/>
        <rFont val="Calibri"/>
        <family val="2"/>
        <scheme val="minor"/>
      </rPr>
      <t>a</t>
    </r>
    <r>
      <rPr>
        <b/>
        <vertAlign val="subscript"/>
        <sz val="11"/>
        <color theme="1"/>
        <rFont val="Calibri"/>
        <family val="2"/>
        <scheme val="minor"/>
      </rPr>
      <t>4,t</t>
    </r>
    <r>
      <rPr>
        <sz val="11"/>
        <color theme="1"/>
        <rFont val="Calibri"/>
        <family val="2"/>
        <scheme val="minor"/>
      </rPr>
      <t xml:space="preserve"> (borde no cargado)</t>
    </r>
  </si>
  <si>
    <r>
      <rPr>
        <b/>
        <sz val="11"/>
        <color theme="1"/>
        <rFont val="Calibri"/>
        <family val="2"/>
        <scheme val="minor"/>
      </rPr>
      <t>a</t>
    </r>
    <r>
      <rPr>
        <b/>
        <vertAlign val="subscript"/>
        <sz val="11"/>
        <color theme="1"/>
        <rFont val="Calibri"/>
        <family val="2"/>
        <scheme val="minor"/>
      </rPr>
      <t>4,0</t>
    </r>
    <r>
      <rPr>
        <sz val="11"/>
        <color theme="1"/>
        <rFont val="Calibri"/>
        <family val="2"/>
        <scheme val="minor"/>
      </rPr>
      <t xml:space="preserve"> (borde no cargado)</t>
    </r>
  </si>
  <si>
    <t>SEPARACIONES Y DISTANCIAS EN PASADORES</t>
  </si>
  <si>
    <t>(3+2|cosα|)d</t>
  </si>
  <si>
    <r>
      <t>max ((a</t>
    </r>
    <r>
      <rPr>
        <vertAlign val="subscript"/>
        <sz val="11"/>
        <color theme="1"/>
        <rFont val="Calibri"/>
        <family val="2"/>
        <scheme val="minor"/>
      </rPr>
      <t>3,t</t>
    </r>
    <r>
      <rPr>
        <sz val="11"/>
        <color theme="1"/>
        <rFont val="Calibri"/>
        <family val="2"/>
      </rPr>
      <t>|</t>
    </r>
    <r>
      <rPr>
        <sz val="11"/>
        <color theme="1"/>
        <rFont val="Calibri"/>
        <family val="2"/>
        <scheme val="minor"/>
      </rPr>
      <t>senα</t>
    </r>
    <r>
      <rPr>
        <sz val="11"/>
        <color theme="1"/>
        <rFont val="Calibri"/>
        <family val="2"/>
      </rPr>
      <t>|</t>
    </r>
    <r>
      <rPr>
        <sz val="11"/>
        <color theme="1"/>
        <rFont val="Calibri"/>
        <family val="2"/>
        <scheme val="minor"/>
      </rPr>
      <t>)d;3d)</t>
    </r>
  </si>
  <si>
    <t>ACERO/MADERA</t>
  </si>
  <si>
    <t>solape de clavos</t>
  </si>
  <si>
    <r>
      <t>distancia</t>
    </r>
    <r>
      <rPr>
        <b/>
        <sz val="11"/>
        <color theme="1"/>
        <rFont val="Calibri"/>
        <family val="2"/>
        <scheme val="minor"/>
      </rPr>
      <t xml:space="preserve"> (t-t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 &gt;  4</t>
    </r>
    <r>
      <rPr>
        <b/>
        <sz val="11"/>
        <color theme="1"/>
        <rFont val="Calibri"/>
        <family val="2"/>
      </rPr>
      <t>·d</t>
    </r>
  </si>
  <si>
    <r>
      <rPr>
        <b/>
        <sz val="11"/>
        <color theme="1"/>
        <rFont val="Calibri"/>
        <family val="2"/>
      </rPr>
      <t>t</t>
    </r>
    <r>
      <rPr>
        <b/>
        <vertAlign val="subscript"/>
        <sz val="11"/>
        <color theme="1"/>
        <rFont val="Calibri"/>
        <family val="2"/>
      </rPr>
      <t>1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espesor pieza madera (mm)</t>
    </r>
  </si>
  <si>
    <r>
      <rPr>
        <b/>
        <sz val="11"/>
        <color theme="1"/>
        <rFont val="Calibri"/>
        <family val="2"/>
        <scheme val="minor"/>
      </rPr>
      <t>f</t>
    </r>
    <r>
      <rPr>
        <b/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tensión lím. elást. (N/mm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</si>
  <si>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S235</t>
  </si>
  <si>
    <t>S275</t>
  </si>
  <si>
    <t>S355</t>
  </si>
  <si>
    <t>clavo circular</t>
  </si>
  <si>
    <t>clavo cuadrado</t>
  </si>
  <si>
    <t>tipo elemento clavija</t>
  </si>
  <si>
    <t>My,Rk</t>
  </si>
  <si>
    <t>fh,1,k</t>
  </si>
  <si>
    <r>
      <t>Resistencia al aplastamiento</t>
    </r>
    <r>
      <rPr>
        <b/>
        <sz val="11"/>
        <color theme="1"/>
        <rFont val="Calibri"/>
        <family val="2"/>
        <scheme val="minor"/>
      </rPr>
      <t xml:space="preserve"> f</t>
    </r>
    <r>
      <rPr>
        <b/>
        <vertAlign val="subscript"/>
        <sz val="11"/>
        <color theme="1"/>
        <rFont val="Calibri"/>
        <family val="2"/>
        <scheme val="minor"/>
      </rPr>
      <t>h,1,k</t>
    </r>
    <r>
      <rPr>
        <sz val="11"/>
        <color theme="1"/>
        <rFont val="Calibri"/>
        <family val="2"/>
        <scheme val="minor"/>
      </rPr>
      <t xml:space="preserve"> (N/mm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</si>
  <si>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f</t>
    </r>
    <r>
      <rPr>
        <b/>
        <vertAlign val="subscript"/>
        <sz val="11"/>
        <color theme="1"/>
        <rFont val="Calibri"/>
        <family val="2"/>
        <scheme val="minor"/>
      </rPr>
      <t>u,k</t>
    </r>
    <r>
      <rPr>
        <sz val="11"/>
        <color theme="1"/>
        <rFont val="Calibri"/>
        <family val="2"/>
        <scheme val="minor"/>
      </rPr>
      <t xml:space="preserve"> resist. carac. tracc. alambre (N/mm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</si>
  <si>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MODOS FALLO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</si>
  <si>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diámetro clavija (mm)</t>
    </r>
  </si>
  <si>
    <t>tirafondo d≤6 mm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</si>
  <si>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v,Rk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</si>
  <si>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v,Rd</t>
    </r>
  </si>
  <si>
    <t>perno</t>
  </si>
  <si>
    <t>pasador</t>
  </si>
  <si>
    <t>tirafondo d &gt; 6 mm</t>
  </si>
  <si>
    <r>
      <t xml:space="preserve">Resistencia placa acero </t>
    </r>
    <r>
      <rPr>
        <b/>
        <sz val="11"/>
        <color theme="1"/>
        <rFont val="Calibri"/>
        <family val="2"/>
        <scheme val="minor"/>
      </rPr>
      <t>F</t>
    </r>
    <r>
      <rPr>
        <b/>
        <vertAlign val="subscript"/>
        <sz val="11"/>
        <color theme="1"/>
        <rFont val="Calibri"/>
        <family val="2"/>
        <scheme val="minor"/>
      </rPr>
      <t>v,Rk</t>
    </r>
    <r>
      <rPr>
        <sz val="11"/>
        <color theme="1"/>
        <rFont val="Calibri"/>
        <family val="2"/>
        <scheme val="minor"/>
      </rPr>
      <t xml:space="preserve"> (N)</t>
    </r>
  </si>
  <si>
    <t>PASADORES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</si>
  <si>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espesor placa (mm)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</si>
  <si>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h,1,k</t>
    </r>
    <r>
      <rPr>
        <b/>
        <sz val="11"/>
        <color theme="1"/>
        <rFont val="Calibri"/>
        <family val="2"/>
        <scheme val="minor"/>
      </rPr>
      <t xml:space="preserve"> (f</t>
    </r>
    <r>
      <rPr>
        <b/>
        <vertAlign val="subscript"/>
        <sz val="11"/>
        <color theme="1"/>
        <rFont val="Calibri"/>
        <family val="2"/>
        <scheme val="minor"/>
      </rPr>
      <t>h,</t>
    </r>
    <r>
      <rPr>
        <b/>
        <vertAlign val="subscript"/>
        <sz val="11"/>
        <color theme="1"/>
        <rFont val="Calibri"/>
        <family val="2"/>
      </rPr>
      <t>α,k</t>
    </r>
    <r>
      <rPr>
        <b/>
        <sz val="11"/>
        <color theme="1"/>
        <rFont val="Calibri"/>
        <family val="2"/>
      </rPr>
      <t>)</t>
    </r>
    <r>
      <rPr>
        <b/>
        <vertAlign val="subscript"/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 xml:space="preserve"> =</t>
    </r>
  </si>
  <si>
    <r>
      <t xml:space="preserve">          (f</t>
    </r>
    <r>
      <rPr>
        <b/>
        <vertAlign val="subscript"/>
        <sz val="11"/>
        <color theme="1"/>
        <rFont val="Calibri"/>
        <family val="2"/>
        <scheme val="minor"/>
      </rPr>
      <t>h,0,k</t>
    </r>
    <r>
      <rPr>
        <b/>
        <sz val="11"/>
        <color theme="1"/>
        <rFont val="Calibri"/>
        <family val="2"/>
        <scheme val="minor"/>
      </rPr>
      <t>)  =</t>
    </r>
  </si>
  <si>
    <r>
      <t>Momento plástico</t>
    </r>
    <r>
      <rPr>
        <b/>
        <sz val="11"/>
        <color theme="1"/>
        <rFont val="Calibri"/>
        <family val="2"/>
        <scheme val="minor"/>
      </rPr>
      <t xml:space="preserve"> M</t>
    </r>
    <r>
      <rPr>
        <b/>
        <vertAlign val="subscript"/>
        <sz val="11"/>
        <color theme="1"/>
        <rFont val="Calibri"/>
        <family val="2"/>
        <scheme val="minor"/>
      </rPr>
      <t>y,Rk</t>
    </r>
    <r>
      <rPr>
        <sz val="11"/>
        <color theme="1"/>
        <rFont val="Calibri"/>
        <family val="2"/>
        <scheme val="minor"/>
      </rPr>
      <t xml:space="preserve"> (N·mm)</t>
    </r>
  </si>
  <si>
    <r>
      <t xml:space="preserve">Resistencia al aplastamiento </t>
    </r>
    <r>
      <rPr>
        <b/>
        <sz val="11"/>
        <color theme="1"/>
        <rFont val="Calibri"/>
        <family val="2"/>
        <scheme val="minor"/>
      </rPr>
      <t>f</t>
    </r>
    <r>
      <rPr>
        <b/>
        <vertAlign val="subscript"/>
        <sz val="11"/>
        <color theme="1"/>
        <rFont val="Calibri"/>
        <family val="2"/>
        <scheme val="minor"/>
      </rPr>
      <t>h,1,k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(N/mm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</si>
  <si>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Resistencia placa acero</t>
    </r>
    <r>
      <rPr>
        <b/>
        <sz val="11"/>
        <color theme="1"/>
        <rFont val="Calibri"/>
        <family val="2"/>
        <scheme val="minor"/>
      </rPr>
      <t xml:space="preserve"> F</t>
    </r>
    <r>
      <rPr>
        <b/>
        <vertAlign val="subscript"/>
        <sz val="11"/>
        <color theme="1"/>
        <rFont val="Calibri"/>
        <family val="2"/>
        <scheme val="minor"/>
      </rPr>
      <t>v,Rk</t>
    </r>
    <r>
      <rPr>
        <sz val="11"/>
        <color theme="1"/>
        <rFont val="Calibri"/>
        <family val="2"/>
        <scheme val="minor"/>
      </rPr>
      <t xml:space="preserve"> (N)</t>
    </r>
  </si>
  <si>
    <r>
      <rPr>
        <b/>
        <sz val="11"/>
        <color theme="1"/>
        <rFont val="Calibri"/>
        <family val="2"/>
      </rPr>
      <t>ρk</t>
    </r>
    <r>
      <rPr>
        <sz val="11"/>
        <color theme="1"/>
        <rFont val="Calibri"/>
        <family val="2"/>
      </rPr>
      <t xml:space="preserve"> densidad caract. (kg/m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)</t>
    </r>
  </si>
  <si>
    <r>
      <rPr>
        <b/>
        <sz val="11"/>
        <color theme="1"/>
        <rFont val="Calibri"/>
        <family val="2"/>
      </rPr>
      <t>t</t>
    </r>
    <r>
      <rPr>
        <b/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espesor pieza madera (mm)</t>
    </r>
  </si>
  <si>
    <r>
      <rPr>
        <b/>
        <sz val="11"/>
        <color theme="1"/>
        <rFont val="Calibri"/>
        <family val="2"/>
        <scheme val="minor"/>
      </rPr>
      <t>f</t>
    </r>
    <r>
      <rPr>
        <b/>
        <vertAlign val="subscript"/>
        <sz val="11"/>
        <color theme="1"/>
        <rFont val="Calibri"/>
        <family val="2"/>
        <scheme val="minor"/>
      </rPr>
      <t>y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tensión lím. elást. (N/mm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</si>
  <si>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ϒ</t>
    </r>
    <r>
      <rPr>
        <b/>
        <vertAlign val="subscript"/>
        <sz val="11"/>
        <color theme="1"/>
        <rFont val="Calibri"/>
        <family val="2"/>
      </rPr>
      <t>M</t>
    </r>
  </si>
  <si>
    <t>1) PIEZA CENTRAL ACERO (CUALQUIER ESPESOR t)</t>
  </si>
  <si>
    <t>DELGADA</t>
  </si>
  <si>
    <t>GRUESA</t>
  </si>
  <si>
    <t>INTERMEDIA</t>
  </si>
  <si>
    <t>1) CORTADURA SIMPLE</t>
  </si>
  <si>
    <t>2) PIEZA CENTRAL MADERA</t>
  </si>
  <si>
    <r>
      <rPr>
        <b/>
        <sz val="11"/>
        <color theme="1"/>
        <rFont val="Calibri"/>
        <family val="2"/>
      </rPr>
      <t>t</t>
    </r>
    <r>
      <rPr>
        <b/>
        <vertAlign val="sub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espesor pieza madera (mm)</t>
    </r>
  </si>
  <si>
    <r>
      <t>Resistencia al aplastamiento</t>
    </r>
    <r>
      <rPr>
        <b/>
        <sz val="11"/>
        <color theme="1"/>
        <rFont val="Calibri"/>
        <family val="2"/>
        <scheme val="minor"/>
      </rPr>
      <t xml:space="preserve"> f</t>
    </r>
    <r>
      <rPr>
        <b/>
        <vertAlign val="subscript"/>
        <sz val="11"/>
        <color theme="1"/>
        <rFont val="Calibri"/>
        <family val="2"/>
        <scheme val="minor"/>
      </rPr>
      <t>h,2,k</t>
    </r>
    <r>
      <rPr>
        <sz val="11"/>
        <color theme="1"/>
        <rFont val="Calibri"/>
        <family val="2"/>
        <scheme val="minor"/>
      </rPr>
      <t xml:space="preserve"> (N/mm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</si>
  <si>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espesor placas (mm)</t>
    </r>
  </si>
  <si>
    <t>Tipo acero</t>
  </si>
  <si>
    <t>fh,2,k</t>
  </si>
  <si>
    <t>F min</t>
  </si>
  <si>
    <t xml:space="preserve"> a)</t>
  </si>
  <si>
    <t>modos</t>
  </si>
  <si>
    <r>
      <rPr>
        <b/>
        <sz val="12"/>
        <color theme="1"/>
        <rFont val="Calibri"/>
        <family val="2"/>
        <scheme val="minor"/>
      </rPr>
      <t>MEDIO UNIÓN</t>
    </r>
    <r>
      <rPr>
        <sz val="12"/>
        <color theme="5" tint="-0.24997000396251678"/>
        <rFont val="Calibri"/>
        <family val="2"/>
        <scheme val="minor"/>
      </rPr>
      <t xml:space="preserve"> </t>
    </r>
    <r>
      <rPr>
        <b/>
        <sz val="12"/>
        <color theme="4" tint="-0.24997000396251678"/>
        <rFont val="Calibri"/>
        <family val="2"/>
        <scheme val="minor"/>
      </rPr>
      <t>CLAVOS/TIRAFONDOS D</t>
    </r>
    <r>
      <rPr>
        <b/>
        <sz val="12"/>
        <color theme="4" tint="-0.24997000396251678"/>
        <rFont val="Calibri"/>
        <family val="2"/>
      </rPr>
      <t>≤6 MM</t>
    </r>
  </si>
  <si>
    <r>
      <rPr>
        <b/>
        <sz val="12"/>
        <color theme="1"/>
        <rFont val="Calibri"/>
        <family val="2"/>
        <scheme val="minor"/>
      </rPr>
      <t>MEDIO UNIÓN</t>
    </r>
    <r>
      <rPr>
        <b/>
        <sz val="12"/>
        <color theme="4" tint="-0.24997000396251678"/>
        <rFont val="Calibri"/>
        <family val="2"/>
        <scheme val="minor"/>
      </rPr>
      <t xml:space="preserve"> </t>
    </r>
    <r>
      <rPr>
        <sz val="12"/>
        <color theme="4" tint="-0.24997000396251678"/>
        <rFont val="Calibri"/>
        <family val="2"/>
        <scheme val="minor"/>
      </rPr>
      <t xml:space="preserve"> </t>
    </r>
    <r>
      <rPr>
        <b/>
        <sz val="12"/>
        <color theme="4" tint="-0.24997000396251678"/>
        <rFont val="Calibri"/>
        <family val="2"/>
        <scheme val="minor"/>
      </rPr>
      <t>PERNOS/PASADORES/TIRAFONDOS D&gt;6 MM</t>
    </r>
  </si>
  <si>
    <r>
      <rPr>
        <b/>
        <sz val="12"/>
        <color theme="1"/>
        <rFont val="Calibri"/>
        <family val="2"/>
        <scheme val="minor"/>
      </rPr>
      <t xml:space="preserve">MEDIO UNIÓN </t>
    </r>
    <r>
      <rPr>
        <sz val="12"/>
        <color theme="4" tint="-0.24997000396251678"/>
        <rFont val="Calibri"/>
        <family val="2"/>
        <scheme val="minor"/>
      </rPr>
      <t xml:space="preserve"> </t>
    </r>
    <r>
      <rPr>
        <b/>
        <sz val="12"/>
        <color theme="4" tint="-0.24997000396251678"/>
        <rFont val="Calibri"/>
        <family val="2"/>
        <scheme val="minor"/>
      </rPr>
      <t>PERNOS/PASADORES/TIRAFONDOS D&gt;6 MM</t>
    </r>
  </si>
  <si>
    <r>
      <rPr>
        <b/>
        <sz val="12"/>
        <color theme="1"/>
        <rFont val="Calibri"/>
        <family val="2"/>
        <scheme val="minor"/>
      </rPr>
      <t xml:space="preserve">MEDIO UNIÓN 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4" tint="-0.24997000396251678"/>
        <rFont val="Calibri"/>
        <family val="2"/>
        <scheme val="minor"/>
      </rPr>
      <t>PERNOS/PASADORES/TIRAFONDOS D&gt;6 MM</t>
    </r>
  </si>
  <si>
    <r>
      <t>MEDIO UNIÓN</t>
    </r>
    <r>
      <rPr>
        <b/>
        <sz val="12"/>
        <color theme="4" tint="-0.24997000396251678"/>
        <rFont val="Calibri"/>
        <family val="2"/>
        <scheme val="minor"/>
      </rPr>
      <t xml:space="preserve"> CLAVOS/TIRAFONDOS D≤6 MM</t>
    </r>
  </si>
  <si>
    <t>PLACA</t>
  </si>
  <si>
    <t>a1</t>
  </si>
  <si>
    <t>a2</t>
  </si>
  <si>
    <t>a3t</t>
  </si>
  <si>
    <t>a3c</t>
  </si>
  <si>
    <t>a4t</t>
  </si>
  <si>
    <t>a4c</t>
  </si>
  <si>
    <t>M1</t>
  </si>
  <si>
    <t>ρ&lt;=420</t>
  </si>
  <si>
    <t>tirafondo d&lt;=6</t>
  </si>
  <si>
    <t>fh1k</t>
  </si>
  <si>
    <t>fh2k</t>
  </si>
  <si>
    <r>
      <rPr>
        <b/>
        <sz val="11"/>
        <color theme="1"/>
        <rFont val="Calibri"/>
        <family val="2"/>
        <scheme val="minor"/>
      </rPr>
      <t xml:space="preserve">d </t>
    </r>
    <r>
      <rPr>
        <sz val="11"/>
        <color theme="1"/>
        <rFont val="Calibri"/>
        <family val="2"/>
        <scheme val="minor"/>
      </rPr>
      <t>diámetro (mm)</t>
    </r>
  </si>
  <si>
    <t>β</t>
  </si>
  <si>
    <t xml:space="preserve">β = 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</si>
  <si>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h,1,k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</si>
  <si>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h,2,k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</si>
  <si>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 xml:space="preserve">h,1,k </t>
    </r>
  </si>
  <si>
    <t>420&lt;ρ&lt;=500</t>
  </si>
  <si>
    <t>sin pretaladro</t>
  </si>
  <si>
    <t>con pretaladro</t>
  </si>
  <si>
    <t>M2</t>
  </si>
  <si>
    <t>pretaladro</t>
  </si>
  <si>
    <r>
      <t>a</t>
    </r>
    <r>
      <rPr>
        <b/>
        <vertAlign val="subscript"/>
        <sz val="14"/>
        <rFont val="Calibri"/>
        <family val="2"/>
        <scheme val="minor"/>
      </rPr>
      <t>1</t>
    </r>
  </si>
  <si>
    <r>
      <t>a</t>
    </r>
    <r>
      <rPr>
        <b/>
        <vertAlign val="subscript"/>
        <sz val="14"/>
        <rFont val="Calibri"/>
        <family val="2"/>
        <scheme val="minor"/>
      </rPr>
      <t>2</t>
    </r>
  </si>
  <si>
    <r>
      <t>a</t>
    </r>
    <r>
      <rPr>
        <b/>
        <vertAlign val="subscript"/>
        <sz val="14"/>
        <rFont val="Calibri"/>
        <family val="2"/>
        <scheme val="minor"/>
      </rPr>
      <t>3t</t>
    </r>
  </si>
  <si>
    <r>
      <t>a</t>
    </r>
    <r>
      <rPr>
        <b/>
        <vertAlign val="subscript"/>
        <sz val="14"/>
        <rFont val="Calibri"/>
        <family val="2"/>
        <scheme val="minor"/>
      </rPr>
      <t>3c</t>
    </r>
  </si>
  <si>
    <r>
      <t>a</t>
    </r>
    <r>
      <rPr>
        <b/>
        <vertAlign val="subscript"/>
        <sz val="14"/>
        <rFont val="Calibri"/>
        <family val="2"/>
        <scheme val="minor"/>
      </rPr>
      <t>4t</t>
    </r>
  </si>
  <si>
    <r>
      <t>a</t>
    </r>
    <r>
      <rPr>
        <b/>
        <vertAlign val="subscript"/>
        <sz val="14"/>
        <rFont val="Calibri"/>
        <family val="2"/>
        <scheme val="minor"/>
      </rPr>
      <t>4c</t>
    </r>
  </si>
  <si>
    <t>pernos/tirafondos d&gt;6</t>
  </si>
  <si>
    <t>PERNOS/TIRAFONDOS D&gt;6</t>
  </si>
  <si>
    <t>pasadores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</si>
  <si>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 xml:space="preserve">90 (2)  </t>
    </r>
    <r>
      <rPr>
        <b/>
        <sz val="11"/>
        <color theme="1"/>
        <rFont val="Calibri"/>
        <family val="2"/>
        <scheme val="minor"/>
      </rPr>
      <t>=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</si>
  <si>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90 (1)</t>
    </r>
    <r>
      <rPr>
        <b/>
        <sz val="11"/>
        <color theme="1"/>
        <rFont val="Calibri"/>
        <family val="2"/>
        <scheme val="minor"/>
      </rPr>
      <t xml:space="preserve">  =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</si>
  <si>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 xml:space="preserve">90 (1)   </t>
    </r>
    <r>
      <rPr>
        <b/>
        <sz val="11"/>
        <color theme="1"/>
        <rFont val="Calibri"/>
        <family val="2"/>
        <scheme val="minor"/>
      </rPr>
      <t>=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</si>
  <si>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h,2,k</t>
    </r>
    <r>
      <rPr>
        <b/>
        <sz val="11"/>
        <color theme="1"/>
        <rFont val="Calibri"/>
        <family val="2"/>
        <scheme val="minor"/>
      </rPr>
      <t xml:space="preserve"> (f</t>
    </r>
    <r>
      <rPr>
        <b/>
        <vertAlign val="subscript"/>
        <sz val="11"/>
        <color theme="1"/>
        <rFont val="Calibri"/>
        <family val="2"/>
        <scheme val="minor"/>
      </rPr>
      <t>h,</t>
    </r>
    <r>
      <rPr>
        <b/>
        <vertAlign val="subscript"/>
        <sz val="11"/>
        <color theme="1"/>
        <rFont val="Calibri"/>
        <family val="2"/>
      </rPr>
      <t>α</t>
    </r>
    <r>
      <rPr>
        <b/>
        <vertAlign val="subscript"/>
        <sz val="11"/>
        <color theme="1"/>
        <rFont val="Calibri"/>
        <family val="2"/>
        <scheme val="minor"/>
      </rPr>
      <t>,k</t>
    </r>
    <r>
      <rPr>
        <b/>
        <sz val="11"/>
        <color theme="1"/>
        <rFont val="Calibri"/>
        <family val="2"/>
        <scheme val="minor"/>
      </rPr>
      <t>)  =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</si>
  <si>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 xml:space="preserve">90 (2)   </t>
    </r>
    <r>
      <rPr>
        <b/>
        <sz val="11"/>
        <color theme="1"/>
        <rFont val="Calibri"/>
        <family val="2"/>
        <scheme val="minor"/>
      </rPr>
      <t>=</t>
    </r>
  </si>
  <si>
    <r>
      <t xml:space="preserve">PIEZA MADERA </t>
    </r>
    <r>
      <rPr>
        <b/>
        <sz val="11"/>
        <color theme="1"/>
        <rFont val="Calibri"/>
        <family val="2"/>
        <scheme val="minor"/>
      </rPr>
      <t>M1</t>
    </r>
  </si>
  <si>
    <r>
      <t xml:space="preserve">PIEZA MADERA  </t>
    </r>
    <r>
      <rPr>
        <b/>
        <sz val="11"/>
        <color theme="1"/>
        <rFont val="Calibri"/>
        <family val="2"/>
        <scheme val="minor"/>
      </rPr>
      <t>M2</t>
    </r>
  </si>
  <si>
    <r>
      <t>PIEZA MADERA</t>
    </r>
    <r>
      <rPr>
        <b/>
        <sz val="11"/>
        <color theme="1"/>
        <rFont val="Calibri"/>
        <family val="2"/>
        <scheme val="minor"/>
      </rPr>
      <t xml:space="preserve"> M2</t>
    </r>
  </si>
  <si>
    <r>
      <t xml:space="preserve">PIEZAS MADERA LATERALES </t>
    </r>
    <r>
      <rPr>
        <b/>
        <sz val="11"/>
        <color theme="1"/>
        <rFont val="Calibri"/>
        <family val="2"/>
        <scheme val="minor"/>
      </rPr>
      <t>M1</t>
    </r>
  </si>
  <si>
    <r>
      <t xml:space="preserve">PIEZA DE MADERA CENTRAL </t>
    </r>
    <r>
      <rPr>
        <b/>
        <sz val="11"/>
        <color theme="1"/>
        <rFont val="Calibri"/>
        <family val="2"/>
        <scheme val="minor"/>
      </rPr>
      <t>M2</t>
    </r>
  </si>
  <si>
    <r>
      <t xml:space="preserve">PIEZAS DE MADERA LATERALES </t>
    </r>
    <r>
      <rPr>
        <b/>
        <sz val="11"/>
        <color theme="1"/>
        <rFont val="Calibri"/>
        <family val="2"/>
        <scheme val="minor"/>
      </rPr>
      <t>M1</t>
    </r>
  </si>
  <si>
    <r>
      <t xml:space="preserve">PIEZA DE MADERA CENTRAL  </t>
    </r>
    <r>
      <rPr>
        <b/>
        <sz val="11"/>
        <color theme="1"/>
        <rFont val="Calibri"/>
        <family val="2"/>
        <scheme val="minor"/>
      </rPr>
      <t>M2</t>
    </r>
  </si>
  <si>
    <t>PLACA ACERO</t>
  </si>
  <si>
    <r>
      <t>PIEZAS MADERA LATERALES</t>
    </r>
    <r>
      <rPr>
        <b/>
        <sz val="11"/>
        <color theme="1"/>
        <rFont val="Calibri"/>
        <family val="2"/>
        <scheme val="minor"/>
      </rPr>
      <t xml:space="preserve"> M1</t>
    </r>
  </si>
  <si>
    <r>
      <t>PIEZAS LATERALES MADERA</t>
    </r>
    <r>
      <rPr>
        <b/>
        <sz val="11"/>
        <color theme="1"/>
        <rFont val="Calibri"/>
        <family val="2"/>
        <scheme val="minor"/>
      </rPr>
      <t xml:space="preserve"> M1</t>
    </r>
  </si>
  <si>
    <r>
      <t xml:space="preserve">PIEZA MADERA </t>
    </r>
    <r>
      <rPr>
        <b/>
        <sz val="11"/>
        <color theme="1"/>
        <rFont val="Calibri"/>
        <family val="2"/>
        <scheme val="minor"/>
      </rPr>
      <t>M2</t>
    </r>
  </si>
  <si>
    <t>d taladro</t>
  </si>
  <si>
    <t xml:space="preserve">d taladro </t>
  </si>
  <si>
    <t>mm</t>
  </si>
  <si>
    <t>tirafondo</t>
  </si>
  <si>
    <t xml:space="preserve">d taladros </t>
  </si>
  <si>
    <t>separacion entre elementos (mm)</t>
  </si>
  <si>
    <t>distancias mínimas  a testa y a borde (mm)</t>
  </si>
  <si>
    <t>MODOS FALLO (EN PLACA DELGADA Y GRUESA)</t>
  </si>
  <si>
    <t>PLACA GRUESO  INTERMEDIO</t>
  </si>
  <si>
    <t>PLACA GRUESO INTERMEDIO</t>
  </si>
  <si>
    <t>MODOS FALLO  (EN PLACA DELGADA Y GRUESA)</t>
  </si>
  <si>
    <r>
      <rPr>
        <sz val="11"/>
        <color theme="1"/>
        <rFont val="Calibri"/>
        <family val="2"/>
        <scheme val="minor"/>
      </rPr>
      <t xml:space="preserve">Esfuerzo de cálculo </t>
    </r>
    <r>
      <rPr>
        <b/>
        <sz val="11"/>
        <color theme="1"/>
        <rFont val="Calibri"/>
        <family val="2"/>
        <scheme val="minor"/>
      </rPr>
      <t>F</t>
    </r>
    <r>
      <rPr>
        <b/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(N)</t>
    </r>
  </si>
  <si>
    <r>
      <rPr>
        <sz val="11"/>
        <color theme="1"/>
        <rFont val="Calibri"/>
        <family val="2"/>
        <scheme val="minor"/>
      </rPr>
      <t>Esfuerzo de cálculo F</t>
    </r>
    <r>
      <rPr>
        <b/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(N)</t>
    </r>
  </si>
  <si>
    <r>
      <t xml:space="preserve">Esfuerzo de cálculo </t>
    </r>
    <r>
      <rPr>
        <b/>
        <sz val="11"/>
        <color theme="1"/>
        <rFont val="Calibri"/>
        <family val="2"/>
        <scheme val="minor"/>
      </rPr>
      <t>Fd</t>
    </r>
    <r>
      <rPr>
        <sz val="11"/>
        <color theme="1"/>
        <rFont val="Calibri"/>
        <family val="2"/>
        <scheme val="minor"/>
      </rPr>
      <t xml:space="preserve"> (N)</t>
    </r>
  </si>
  <si>
    <r>
      <t>ρ</t>
    </r>
    <r>
      <rPr>
        <sz val="9.35"/>
        <color theme="0" tint="-0.1499900072813034"/>
        <rFont val="Calibri"/>
        <family val="2"/>
      </rPr>
      <t>&lt;=420</t>
    </r>
  </si>
  <si>
    <r>
      <t>tirafondo d</t>
    </r>
    <r>
      <rPr>
        <sz val="11"/>
        <color theme="0" tint="-0.1499900072813034"/>
        <rFont val="Calibri"/>
        <family val="2"/>
      </rPr>
      <t>≤6 mm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</si>
</sst>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vertAlign val="subscript"/>
      <sz val="12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sz val="11"/>
      <color theme="1"/>
      <name val="Calibri"/>
      <family val="2"/>
    </font>
    <font>
      <vertAlign val="subscript"/>
      <sz val="9.35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9.35"/>
      <color theme="1"/>
      <name val="Calibri"/>
      <family val="2"/>
    </font>
    <font>
      <b/>
      <sz val="9.35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vertAlign val="subscript"/>
      <sz val="12"/>
      <color theme="1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vertAlign val="subscript"/>
      <sz val="16"/>
      <color theme="1"/>
      <name val="Calibri"/>
      <family val="2"/>
    </font>
    <font>
      <b/>
      <sz val="11"/>
      <color rgb="FF0000CC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12"/>
      <color theme="5" tint="-0.24997000396251678"/>
      <name val="Calibri"/>
      <family val="2"/>
      <scheme val="minor"/>
    </font>
    <font>
      <sz val="9.35"/>
      <color theme="1"/>
      <name val="Calibri"/>
      <family val="2"/>
    </font>
    <font>
      <vertAlign val="superscript"/>
      <sz val="9.35"/>
      <color theme="1"/>
      <name val="Calibri"/>
      <family val="2"/>
    </font>
    <font>
      <sz val="7.95"/>
      <color theme="1"/>
      <name val="Calibri"/>
      <family val="2"/>
    </font>
    <font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sz val="14"/>
      <color theme="1"/>
      <name val="Calibri"/>
      <family val="2"/>
    </font>
    <font>
      <sz val="11.9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4" tint="-0.24997000396251678"/>
      <name val="Calibri"/>
      <family val="2"/>
      <scheme val="minor"/>
    </font>
    <font>
      <b/>
      <sz val="12"/>
      <color theme="4" tint="-0.24997000396251678"/>
      <name val="Calibri"/>
      <family val="2"/>
    </font>
    <font>
      <sz val="12"/>
      <color theme="4" tint="-0.24997000396251678"/>
      <name val="Calibri"/>
      <family val="2"/>
      <scheme val="minor"/>
    </font>
    <font>
      <sz val="11"/>
      <color theme="4" tint="0.7999799847602844"/>
      <name val="Calibri"/>
      <family val="2"/>
      <scheme val="minor"/>
    </font>
    <font>
      <sz val="11"/>
      <color theme="3" tint="0.39998000860214233"/>
      <name val="Calibri"/>
      <family val="2"/>
      <scheme val="minor"/>
    </font>
    <font>
      <b/>
      <sz val="14"/>
      <name val="Calibri"/>
      <family val="2"/>
      <scheme val="minor"/>
    </font>
    <font>
      <b/>
      <vertAlign val="subscript"/>
      <sz val="14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sz val="11"/>
      <color theme="0" tint="-0.1499900072813034"/>
      <name val="Calibri"/>
      <family val="2"/>
    </font>
    <font>
      <sz val="9.35"/>
      <color theme="0" tint="-0.1499900072813034"/>
      <name val="Calibri"/>
      <family val="2"/>
    </font>
    <font>
      <sz val="14"/>
      <color theme="0" tint="-0.1499900072813034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1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2" borderId="1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0" borderId="0" xfId="0" applyFont="1" applyFill="1" applyBorder="1"/>
    <xf numFmtId="0" fontId="4" fillId="0" borderId="0" xfId="0" applyFont="1" applyFill="1" applyBorder="1" applyAlignment="1">
      <alignment/>
    </xf>
    <xf numFmtId="0" fontId="0" fillId="4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applyFont="1" applyFill="1"/>
    <xf numFmtId="0" fontId="4" fillId="0" borderId="0" xfId="0" applyFont="1" applyFill="1" applyAlignment="1">
      <alignment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Fill="1"/>
    <xf numFmtId="0" fontId="0" fillId="0" borderId="4" xfId="0" applyFill="1" applyBorder="1"/>
    <xf numFmtId="0" fontId="4" fillId="0" borderId="4" xfId="0" applyFont="1" applyFill="1" applyBorder="1" applyAlignment="1">
      <alignment/>
    </xf>
    <xf numFmtId="0" fontId="0" fillId="4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" fillId="0" borderId="0" xfId="0" applyFont="1" applyFill="1" applyBorder="1"/>
    <xf numFmtId="0" fontId="7" fillId="0" borderId="4" xfId="0" applyFont="1" applyFill="1" applyBorder="1" applyAlignment="1">
      <alignment/>
    </xf>
    <xf numFmtId="0" fontId="2" fillId="0" borderId="4" xfId="0" applyFont="1" applyFill="1" applyBorder="1"/>
    <xf numFmtId="0" fontId="0" fillId="7" borderId="2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Border="1"/>
    <xf numFmtId="0" fontId="7" fillId="0" borderId="0" xfId="0" applyFont="1" applyFill="1" applyBorder="1" applyAlignment="1">
      <alignment/>
    </xf>
    <xf numFmtId="0" fontId="0" fillId="6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2" borderId="5" xfId="0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2" fillId="3" borderId="5" xfId="0" applyFont="1" applyFill="1" applyBorder="1"/>
    <xf numFmtId="0" fontId="10" fillId="3" borderId="3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0" fillId="3" borderId="6" xfId="0" applyFill="1" applyBorder="1"/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3" borderId="6" xfId="0" applyFill="1" applyBorder="1" applyAlignment="1">
      <alignment wrapText="1"/>
    </xf>
    <xf numFmtId="0" fontId="0" fillId="3" borderId="1" xfId="0" applyFill="1" applyBorder="1"/>
    <xf numFmtId="0" fontId="0" fillId="6" borderId="2" xfId="0" applyFill="1" applyBorder="1" applyAlignment="1">
      <alignment horizontal="center" vertical="center"/>
    </xf>
    <xf numFmtId="0" fontId="0" fillId="3" borderId="5" xfId="0" applyFill="1" applyBorder="1"/>
    <xf numFmtId="0" fontId="0" fillId="6" borderId="8" xfId="0" applyFill="1" applyBorder="1" applyAlignment="1">
      <alignment horizontal="center" vertical="center"/>
    </xf>
    <xf numFmtId="0" fontId="0" fillId="3" borderId="9" xfId="0" applyFill="1" applyBorder="1"/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2" fillId="0" borderId="12" xfId="0" applyFont="1" applyFill="1" applyBorder="1"/>
    <xf numFmtId="0" fontId="0" fillId="0" borderId="8" xfId="0" applyFill="1" applyBorder="1"/>
    <xf numFmtId="0" fontId="2" fillId="2" borderId="12" xfId="0" applyFont="1" applyFill="1" applyBorder="1"/>
    <xf numFmtId="0" fontId="0" fillId="2" borderId="8" xfId="0" applyFill="1" applyBorder="1"/>
    <xf numFmtId="0" fontId="0" fillId="2" borderId="13" xfId="0" applyFill="1" applyBorder="1"/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4" borderId="13" xfId="0" applyFont="1" applyFill="1" applyBorder="1"/>
    <xf numFmtId="0" fontId="0" fillId="4" borderId="7" xfId="0" applyFill="1" applyBorder="1"/>
    <xf numFmtId="0" fontId="0" fillId="4" borderId="13" xfId="0" applyFill="1" applyBorder="1"/>
    <xf numFmtId="0" fontId="0" fillId="4" borderId="14" xfId="0" applyFill="1" applyBorder="1"/>
    <xf numFmtId="0" fontId="2" fillId="5" borderId="12" xfId="0" applyFont="1" applyFill="1" applyBorder="1"/>
    <xf numFmtId="0" fontId="0" fillId="5" borderId="8" xfId="0" applyFill="1" applyBorder="1"/>
    <xf numFmtId="0" fontId="0" fillId="5" borderId="13" xfId="0" applyFill="1" applyBorder="1"/>
    <xf numFmtId="0" fontId="0" fillId="5" borderId="7" xfId="0" applyFill="1" applyBorder="1"/>
    <xf numFmtId="0" fontId="0" fillId="5" borderId="14" xfId="0" applyFill="1" applyBorder="1"/>
    <xf numFmtId="0" fontId="0" fillId="5" borderId="2" xfId="0" applyFill="1" applyBorder="1"/>
    <xf numFmtId="0" fontId="0" fillId="0" borderId="5" xfId="0" applyFill="1" applyBorder="1"/>
    <xf numFmtId="0" fontId="0" fillId="0" borderId="3" xfId="0" applyFill="1" applyBorder="1"/>
    <xf numFmtId="0" fontId="0" fillId="0" borderId="6" xfId="0" applyFill="1" applyBorder="1"/>
    <xf numFmtId="0" fontId="0" fillId="0" borderId="0" xfId="0" applyFill="1" applyBorder="1" applyAlignment="1">
      <alignment/>
    </xf>
    <xf numFmtId="0" fontId="0" fillId="0" borderId="1" xfId="0" applyBorder="1"/>
    <xf numFmtId="0" fontId="0" fillId="0" borderId="4" xfId="0" applyBorder="1"/>
    <xf numFmtId="0" fontId="2" fillId="0" borderId="4" xfId="0" applyFont="1" applyBorder="1" applyAlignment="1">
      <alignment horizontal="center" vertical="center"/>
    </xf>
    <xf numFmtId="0" fontId="2" fillId="0" borderId="12" xfId="0" applyFont="1" applyBorder="1"/>
    <xf numFmtId="0" fontId="2" fillId="0" borderId="0" xfId="0" applyFont="1" applyBorder="1"/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0" xfId="0" applyBorder="1"/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3" xfId="0" applyFont="1" applyBorder="1"/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13" xfId="0" applyFont="1" applyBorder="1"/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13" xfId="0" applyFont="1" applyBorder="1"/>
    <xf numFmtId="0" fontId="0" fillId="2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4" xfId="0" applyBorder="1"/>
    <xf numFmtId="0" fontId="4" fillId="0" borderId="4" xfId="0" applyFont="1" applyBorder="1" applyAlignment="1">
      <alignment/>
    </xf>
    <xf numFmtId="0" fontId="0" fillId="4" borderId="1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0" xfId="0" applyFont="1"/>
    <xf numFmtId="2" fontId="0" fillId="0" borderId="0" xfId="0" applyNumberFormat="1"/>
    <xf numFmtId="0" fontId="0" fillId="0" borderId="0" xfId="0" applyAlignment="1">
      <alignment/>
    </xf>
    <xf numFmtId="0" fontId="4" fillId="0" borderId="0" xfId="0" applyFont="1"/>
    <xf numFmtId="0" fontId="18" fillId="0" borderId="0" xfId="0" applyFont="1"/>
    <xf numFmtId="0" fontId="0" fillId="0" borderId="0" xfId="0" applyAlignment="1">
      <alignment horizontal="right"/>
    </xf>
    <xf numFmtId="0" fontId="23" fillId="0" borderId="0" xfId="0" applyFont="1"/>
    <xf numFmtId="2" fontId="0" fillId="0" borderId="0" xfId="0" applyNumberFormat="1" applyFont="1"/>
    <xf numFmtId="164" fontId="0" fillId="0" borderId="0" xfId="0" applyNumberFormat="1"/>
    <xf numFmtId="0" fontId="12" fillId="0" borderId="0" xfId="0" applyFont="1"/>
    <xf numFmtId="0" fontId="33" fillId="0" borderId="0" xfId="0" applyFont="1"/>
    <xf numFmtId="0" fontId="33" fillId="4" borderId="0" xfId="0" applyFont="1" applyFill="1"/>
    <xf numFmtId="0" fontId="0" fillId="4" borderId="0" xfId="0" applyFill="1"/>
    <xf numFmtId="0" fontId="0" fillId="0" borderId="16" xfId="0" applyBorder="1" applyAlignment="1">
      <alignment vertical="center"/>
    </xf>
    <xf numFmtId="0" fontId="33" fillId="0" borderId="0" xfId="0" applyFont="1" applyFill="1"/>
    <xf numFmtId="0" fontId="3" fillId="0" borderId="0" xfId="0" applyFont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23" fillId="0" borderId="0" xfId="0" applyFont="1" applyFill="1"/>
    <xf numFmtId="0" fontId="39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8" borderId="0" xfId="0" applyFill="1"/>
    <xf numFmtId="0" fontId="12" fillId="8" borderId="0" xfId="0" applyFont="1" applyFill="1"/>
    <xf numFmtId="2" fontId="0" fillId="8" borderId="0" xfId="0" applyNumberFormat="1" applyFill="1"/>
    <xf numFmtId="0" fontId="2" fillId="8" borderId="0" xfId="0" applyFont="1" applyFill="1"/>
    <xf numFmtId="0" fontId="12" fillId="8" borderId="0" xfId="0" applyFont="1" applyFill="1" applyAlignment="1">
      <alignment horizontal="right"/>
    </xf>
    <xf numFmtId="0" fontId="0" fillId="8" borderId="0" xfId="0" applyFill="1" applyAlignment="1">
      <alignment horizontal="left"/>
    </xf>
    <xf numFmtId="0" fontId="10" fillId="8" borderId="0" xfId="0" applyFont="1" applyFill="1"/>
    <xf numFmtId="2" fontId="0" fillId="8" borderId="0" xfId="0" applyNumberFormat="1" applyFill="1" applyAlignment="1">
      <alignment horizontal="left"/>
    </xf>
    <xf numFmtId="0" fontId="2" fillId="8" borderId="0" xfId="0" applyFont="1" applyFill="1" applyAlignment="1">
      <alignment horizontal="right"/>
    </xf>
    <xf numFmtId="0" fontId="0" fillId="8" borderId="0" xfId="0" applyFill="1" applyBorder="1"/>
    <xf numFmtId="0" fontId="38" fillId="8" borderId="0" xfId="0" applyFont="1" applyFill="1"/>
    <xf numFmtId="0" fontId="0" fillId="8" borderId="0" xfId="0" applyFill="1" applyAlignment="1">
      <alignment/>
    </xf>
    <xf numFmtId="0" fontId="37" fillId="8" borderId="0" xfId="0" applyFont="1" applyFill="1"/>
    <xf numFmtId="0" fontId="0" fillId="8" borderId="0" xfId="0" applyFill="1" applyAlignment="1">
      <alignment horizontal="right"/>
    </xf>
    <xf numFmtId="0" fontId="0" fillId="8" borderId="0" xfId="0" applyFill="1" applyAlignment="1">
      <alignment vertical="top"/>
    </xf>
    <xf numFmtId="0" fontId="43" fillId="8" borderId="0" xfId="0" applyFont="1" applyFill="1"/>
    <xf numFmtId="0" fontId="2" fillId="8" borderId="0" xfId="0" applyFont="1" applyFill="1" applyAlignment="1">
      <alignment horizontal="left"/>
    </xf>
    <xf numFmtId="0" fontId="44" fillId="0" borderId="0" xfId="0" applyFont="1" applyBorder="1" applyAlignment="1">
      <alignment vertical="center"/>
    </xf>
    <xf numFmtId="0" fontId="44" fillId="0" borderId="0" xfId="0" applyFont="1"/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2" fillId="9" borderId="0" xfId="0" applyFont="1" applyFill="1"/>
    <xf numFmtId="0" fontId="45" fillId="0" borderId="0" xfId="0" applyFont="1" applyAlignment="1">
      <alignment horizontal="center" vertical="center"/>
    </xf>
    <xf numFmtId="0" fontId="47" fillId="0" borderId="0" xfId="0" applyFont="1"/>
    <xf numFmtId="0" fontId="2" fillId="0" borderId="0" xfId="0" applyFont="1" applyAlignment="1">
      <alignment horizontal="left"/>
    </xf>
    <xf numFmtId="0" fontId="10" fillId="8" borderId="0" xfId="0" applyFont="1" applyFill="1" applyAlignment="1">
      <alignment horizontal="right"/>
    </xf>
    <xf numFmtId="0" fontId="45" fillId="0" borderId="0" xfId="0" applyFont="1" applyAlignment="1">
      <alignment horizontal="center"/>
    </xf>
    <xf numFmtId="0" fontId="2" fillId="9" borderId="0" xfId="0" applyFont="1" applyFill="1" applyAlignment="1">
      <alignment horizontal="right"/>
    </xf>
    <xf numFmtId="0" fontId="0" fillId="8" borderId="0" xfId="0" applyFill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/>
    <xf numFmtId="0" fontId="38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27" fillId="4" borderId="3" xfId="0" applyFont="1" applyFill="1" applyBorder="1" applyAlignment="1">
      <alignment horizontal="center"/>
    </xf>
    <xf numFmtId="0" fontId="27" fillId="4" borderId="8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27" fillId="4" borderId="10" xfId="0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/>
    </xf>
    <xf numFmtId="0" fontId="27" fillId="2" borderId="10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3" fillId="4" borderId="5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/>
    </xf>
    <xf numFmtId="0" fontId="0" fillId="0" borderId="2" xfId="0" applyBorder="1"/>
    <xf numFmtId="0" fontId="23" fillId="4" borderId="2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 shrinkToFit="1"/>
    </xf>
    <xf numFmtId="0" fontId="23" fillId="2" borderId="7" xfId="0" applyFont="1" applyFill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center" vertical="center" shrinkToFit="1"/>
    </xf>
    <xf numFmtId="0" fontId="23" fillId="2" borderId="2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3" fillId="2" borderId="8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5" borderId="7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horizontal="right"/>
      <protection locked="0"/>
    </xf>
    <xf numFmtId="0" fontId="0" fillId="10" borderId="15" xfId="0" applyFill="1" applyBorder="1" applyProtection="1">
      <protection locked="0"/>
    </xf>
    <xf numFmtId="0" fontId="0" fillId="10" borderId="9" xfId="0" applyFill="1" applyBorder="1" applyAlignment="1" applyProtection="1">
      <alignment horizontal="center"/>
      <protection locked="0"/>
    </xf>
    <xf numFmtId="0" fontId="0" fillId="10" borderId="11" xfId="0" applyFill="1" applyBorder="1" applyAlignment="1" applyProtection="1">
      <alignment horizontal="center"/>
      <protection locked="0"/>
    </xf>
    <xf numFmtId="0" fontId="48" fillId="0" borderId="0" xfId="0" applyFont="1"/>
    <xf numFmtId="0" fontId="49" fillId="0" borderId="0" xfId="0" applyFont="1"/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Border="1"/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5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i val="0"/>
      </font>
      <fill>
        <patternFill>
          <bgColor theme="4" tint="0.5999600291252136"/>
        </patternFill>
      </fill>
      <border/>
    </dxf>
    <dxf>
      <font>
        <b/>
        <i val="0"/>
      </font>
      <fill>
        <patternFill>
          <bgColor theme="4" tint="0.5999600291252136"/>
        </patternFill>
      </fill>
      <border/>
    </dxf>
    <dxf>
      <font>
        <b/>
        <i val="0"/>
      </font>
      <fill>
        <patternFill>
          <bgColor theme="4" tint="0.5999600291252136"/>
        </patternFill>
      </fill>
      <border/>
    </dxf>
    <dxf>
      <font>
        <b/>
        <i val="0"/>
      </font>
      <fill>
        <patternFill>
          <bgColor theme="4" tint="0.5999600291252136"/>
        </patternFill>
      </fill>
      <border/>
    </dxf>
    <dxf>
      <font>
        <b/>
        <i val="0"/>
      </font>
      <fill>
        <patternFill>
          <bgColor theme="4" tint="0.5999600291252136"/>
        </patternFill>
      </fill>
      <border/>
    </dxf>
    <dxf>
      <font>
        <b/>
        <i val="0"/>
      </font>
      <fill>
        <patternFill>
          <bgColor theme="4" tint="0.5999600291252136"/>
        </patternFill>
      </fill>
      <border/>
    </dxf>
    <dxf>
      <font>
        <b/>
        <i val="0"/>
      </font>
      <fill>
        <patternFill>
          <bgColor theme="4" tint="0.5999600291252136"/>
        </patternFill>
      </fill>
      <border/>
    </dxf>
    <dxf>
      <font>
        <b/>
        <i val="0"/>
      </font>
      <fill>
        <patternFill>
          <bgColor theme="4" tint="0.5999600291252136"/>
        </patternFill>
      </fill>
      <border/>
    </dxf>
    <dxf>
      <font>
        <b/>
        <i val="0"/>
      </font>
      <fill>
        <patternFill>
          <bgColor theme="4" tint="0.5999600291252136"/>
        </patternFill>
      </fill>
      <border/>
    </dxf>
    <dxf>
      <font>
        <b/>
        <i val="0"/>
      </font>
      <fill>
        <patternFill>
          <bgColor theme="4" tint="0.3999499976634979"/>
        </patternFill>
      </fill>
      <border/>
    </dxf>
    <dxf>
      <font>
        <color auto="1"/>
      </font>
      <fill>
        <patternFill>
          <bgColor theme="4" tint="0.7999799847602844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  <color theme="7" tint="-0.4999699890613556"/>
      </font>
      <fill>
        <patternFill>
          <bgColor theme="7" tint="0.7999799847602844"/>
        </patternFill>
      </fill>
      <border/>
    </dxf>
    <dxf>
      <font>
        <b/>
        <i val="0"/>
        <color theme="7" tint="-0.4999699890613556"/>
      </font>
      <fill>
        <patternFill>
          <bgColor theme="7" tint="0.7999799847602844"/>
        </patternFill>
      </fill>
      <border/>
    </dxf>
    <dxf>
      <font>
        <b/>
        <i val="0"/>
        <color theme="7" tint="-0.4999699890613556"/>
      </font>
      <fill>
        <patternFill>
          <bgColor theme="7" tint="0.7999799847602844"/>
        </patternFill>
      </fill>
      <border/>
    </dxf>
    <dxf>
      <font>
        <b/>
        <i val="0"/>
        <color theme="7" tint="-0.4999699890613556"/>
      </font>
      <fill>
        <patternFill>
          <bgColor theme="7" tint="0.7999799847602844"/>
        </patternFill>
      </fill>
      <border/>
    </dxf>
    <dxf>
      <font>
        <b/>
        <i val="0"/>
        <color theme="7" tint="-0.4999699890613556"/>
      </font>
      <fill>
        <patternFill>
          <bgColor theme="7" tint="0.7999799847602844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12</xdr:row>
      <xdr:rowOff>47625</xdr:rowOff>
    </xdr:from>
    <xdr:to>
      <xdr:col>9</xdr:col>
      <xdr:colOff>247650</xdr:colOff>
      <xdr:row>23</xdr:row>
      <xdr:rowOff>19050</xdr:rowOff>
    </xdr:to>
    <xdr:pic>
      <xdr:nvPicPr>
        <xdr:cNvPr id="4" name="3 Imagen" descr="TIT2 001.jpg"/>
        <xdr:cNvPicPr preferRelativeResize="1">
          <a:picLocks noChangeAspect="1"/>
        </xdr:cNvPicPr>
      </xdr:nvPicPr>
      <xdr:blipFill>
        <a:blip r:embed="rId1"/>
        <a:srcRect l="43907" r="36657"/>
        <a:stretch>
          <a:fillRect/>
        </a:stretch>
      </xdr:blipFill>
      <xdr:spPr>
        <a:xfrm>
          <a:off x="3352800" y="2619375"/>
          <a:ext cx="1485900" cy="2324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171450</xdr:colOff>
      <xdr:row>49</xdr:row>
      <xdr:rowOff>142875</xdr:rowOff>
    </xdr:from>
    <xdr:to>
      <xdr:col>9</xdr:col>
      <xdr:colOff>171450</xdr:colOff>
      <xdr:row>60</xdr:row>
      <xdr:rowOff>85725</xdr:rowOff>
    </xdr:to>
    <xdr:pic>
      <xdr:nvPicPr>
        <xdr:cNvPr id="5" name="4 Imagen" descr="TIT2 001.jpg"/>
        <xdr:cNvPicPr preferRelativeResize="1">
          <a:picLocks noChangeAspect="1"/>
        </xdr:cNvPicPr>
      </xdr:nvPicPr>
      <xdr:blipFill>
        <a:blip r:embed="rId1"/>
        <a:srcRect r="82214"/>
        <a:stretch>
          <a:fillRect/>
        </a:stretch>
      </xdr:blipFill>
      <xdr:spPr>
        <a:xfrm>
          <a:off x="3419475" y="10487025"/>
          <a:ext cx="1343025" cy="2343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161925</xdr:colOff>
      <xdr:row>88</xdr:row>
      <xdr:rowOff>190500</xdr:rowOff>
    </xdr:from>
    <xdr:to>
      <xdr:col>9</xdr:col>
      <xdr:colOff>285750</xdr:colOff>
      <xdr:row>99</xdr:row>
      <xdr:rowOff>123825</xdr:rowOff>
    </xdr:to>
    <xdr:pic>
      <xdr:nvPicPr>
        <xdr:cNvPr id="6" name="5 Imagen" descr="TIT2 001.jpg"/>
        <xdr:cNvPicPr preferRelativeResize="1">
          <a:picLocks noChangeAspect="1"/>
        </xdr:cNvPicPr>
      </xdr:nvPicPr>
      <xdr:blipFill>
        <a:blip r:embed="rId1"/>
        <a:srcRect l="62197"/>
        <a:stretch>
          <a:fillRect/>
        </a:stretch>
      </xdr:blipFill>
      <xdr:spPr>
        <a:xfrm>
          <a:off x="2085975" y="18945225"/>
          <a:ext cx="2790825" cy="2247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38100</xdr:colOff>
      <xdr:row>123</xdr:row>
      <xdr:rowOff>104775</xdr:rowOff>
    </xdr:from>
    <xdr:to>
      <xdr:col>9</xdr:col>
      <xdr:colOff>247650</xdr:colOff>
      <xdr:row>133</xdr:row>
      <xdr:rowOff>133350</xdr:rowOff>
    </xdr:to>
    <xdr:pic>
      <xdr:nvPicPr>
        <xdr:cNvPr id="7" name="6 Imagen" descr="TIT2 001.jpg"/>
        <xdr:cNvPicPr preferRelativeResize="1">
          <a:picLocks noChangeAspect="1"/>
        </xdr:cNvPicPr>
      </xdr:nvPicPr>
      <xdr:blipFill>
        <a:blip r:embed="rId1"/>
        <a:srcRect l="17022" r="61633"/>
        <a:stretch>
          <a:fillRect/>
        </a:stretch>
      </xdr:blipFill>
      <xdr:spPr>
        <a:xfrm>
          <a:off x="3286125" y="26174700"/>
          <a:ext cx="1552575" cy="2238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200025</xdr:colOff>
      <xdr:row>166</xdr:row>
      <xdr:rowOff>180975</xdr:rowOff>
    </xdr:from>
    <xdr:to>
      <xdr:col>25</xdr:col>
      <xdr:colOff>428625</xdr:colOff>
      <xdr:row>183</xdr:row>
      <xdr:rowOff>171450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6200775" y="35633025"/>
          <a:ext cx="6229350" cy="3352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457200</xdr:colOff>
      <xdr:row>215</xdr:row>
      <xdr:rowOff>38100</xdr:rowOff>
    </xdr:from>
    <xdr:to>
      <xdr:col>24</xdr:col>
      <xdr:colOff>171450</xdr:colOff>
      <xdr:row>232</xdr:row>
      <xdr:rowOff>142875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5495925" y="45567600"/>
          <a:ext cx="6229350" cy="3343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26</xdr:col>
      <xdr:colOff>342900</xdr:colOff>
      <xdr:row>169</xdr:row>
      <xdr:rowOff>0</xdr:rowOff>
    </xdr:from>
    <xdr:to>
      <xdr:col>31</xdr:col>
      <xdr:colOff>0</xdr:colOff>
      <xdr:row>179</xdr:row>
      <xdr:rowOff>180975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2792075" y="36023550"/>
          <a:ext cx="1895475" cy="2171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9525</xdr:colOff>
      <xdr:row>10</xdr:row>
      <xdr:rowOff>190500</xdr:rowOff>
    </xdr:from>
    <xdr:to>
      <xdr:col>29</xdr:col>
      <xdr:colOff>9525</xdr:colOff>
      <xdr:row>17</xdr:row>
      <xdr:rowOff>171450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8296275" y="2343150"/>
          <a:ext cx="5505450" cy="1466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209550</xdr:colOff>
      <xdr:row>5</xdr:row>
      <xdr:rowOff>19050</xdr:rowOff>
    </xdr:from>
    <xdr:to>
      <xdr:col>27</xdr:col>
      <xdr:colOff>209550</xdr:colOff>
      <xdr:row>10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8496300" y="1133475"/>
          <a:ext cx="4610100" cy="1019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27</xdr:col>
      <xdr:colOff>0</xdr:colOff>
      <xdr:row>48</xdr:row>
      <xdr:rowOff>180975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8286750" y="9277350"/>
          <a:ext cx="4610100" cy="1019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228600</xdr:colOff>
      <xdr:row>50</xdr:row>
      <xdr:rowOff>38100</xdr:rowOff>
    </xdr:from>
    <xdr:to>
      <xdr:col>28</xdr:col>
      <xdr:colOff>219075</xdr:colOff>
      <xdr:row>56</xdr:row>
      <xdr:rowOff>171450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8067675" y="10572750"/>
          <a:ext cx="5495925" cy="1466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381000</xdr:colOff>
      <xdr:row>79</xdr:row>
      <xdr:rowOff>9525</xdr:rowOff>
    </xdr:from>
    <xdr:to>
      <xdr:col>26</xdr:col>
      <xdr:colOff>381000</xdr:colOff>
      <xdr:row>83</xdr:row>
      <xdr:rowOff>219075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8220075" y="16897350"/>
          <a:ext cx="46101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342900</xdr:colOff>
      <xdr:row>85</xdr:row>
      <xdr:rowOff>9525</xdr:rowOff>
    </xdr:from>
    <xdr:to>
      <xdr:col>28</xdr:col>
      <xdr:colOff>342900</xdr:colOff>
      <xdr:row>92</xdr:row>
      <xdr:rowOff>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8181975" y="18116550"/>
          <a:ext cx="5505450" cy="147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85725</xdr:colOff>
      <xdr:row>115</xdr:row>
      <xdr:rowOff>104775</xdr:rowOff>
    </xdr:from>
    <xdr:to>
      <xdr:col>27</xdr:col>
      <xdr:colOff>95250</xdr:colOff>
      <xdr:row>120</xdr:row>
      <xdr:rowOff>114300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8372475" y="24526875"/>
          <a:ext cx="4619625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304800</xdr:colOff>
      <xdr:row>121</xdr:row>
      <xdr:rowOff>209550</xdr:rowOff>
    </xdr:from>
    <xdr:to>
      <xdr:col>28</xdr:col>
      <xdr:colOff>304800</xdr:colOff>
      <xdr:row>128</xdr:row>
      <xdr:rowOff>161925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8143875" y="25860375"/>
          <a:ext cx="5505450" cy="1476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209550</xdr:colOff>
      <xdr:row>5</xdr:row>
      <xdr:rowOff>142875</xdr:rowOff>
    </xdr:from>
    <xdr:to>
      <xdr:col>33</xdr:col>
      <xdr:colOff>352425</xdr:colOff>
      <xdr:row>11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39575" y="1171575"/>
          <a:ext cx="4619625" cy="1019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361950</xdr:colOff>
      <xdr:row>11</xdr:row>
      <xdr:rowOff>171450</xdr:rowOff>
    </xdr:from>
    <xdr:to>
      <xdr:col>35</xdr:col>
      <xdr:colOff>47625</xdr:colOff>
      <xdr:row>19</xdr:row>
      <xdr:rowOff>114300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1544300" y="2343150"/>
          <a:ext cx="5505450" cy="1466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9525</xdr:colOff>
      <xdr:row>17</xdr:row>
      <xdr:rowOff>104775</xdr:rowOff>
    </xdr:from>
    <xdr:to>
      <xdr:col>21</xdr:col>
      <xdr:colOff>76200</xdr:colOff>
      <xdr:row>27</xdr:row>
      <xdr:rowOff>47625</xdr:rowOff>
    </xdr:to>
    <xdr:pic>
      <xdr:nvPicPr>
        <xdr:cNvPr id="205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9210675" y="3419475"/>
          <a:ext cx="1600200" cy="1847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29</xdr:row>
      <xdr:rowOff>133350</xdr:rowOff>
    </xdr:from>
    <xdr:to>
      <xdr:col>33</xdr:col>
      <xdr:colOff>133350</xdr:colOff>
      <xdr:row>35</xdr:row>
      <xdr:rowOff>9525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30025" y="5734050"/>
          <a:ext cx="4610100" cy="1019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304800</xdr:colOff>
      <xdr:row>35</xdr:row>
      <xdr:rowOff>180975</xdr:rowOff>
    </xdr:from>
    <xdr:to>
      <xdr:col>34</xdr:col>
      <xdr:colOff>438150</xdr:colOff>
      <xdr:row>43</xdr:row>
      <xdr:rowOff>133350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1487150" y="6924675"/>
          <a:ext cx="5505450" cy="147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428625</xdr:colOff>
      <xdr:row>61</xdr:row>
      <xdr:rowOff>152400</xdr:rowOff>
    </xdr:from>
    <xdr:to>
      <xdr:col>33</xdr:col>
      <xdr:colOff>114300</xdr:colOff>
      <xdr:row>67</xdr:row>
      <xdr:rowOff>28575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1849100"/>
          <a:ext cx="4610100" cy="1019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314325</xdr:colOff>
      <xdr:row>68</xdr:row>
      <xdr:rowOff>9525</xdr:rowOff>
    </xdr:from>
    <xdr:to>
      <xdr:col>35</xdr:col>
      <xdr:colOff>0</xdr:colOff>
      <xdr:row>75</xdr:row>
      <xdr:rowOff>152400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1496675" y="13039725"/>
          <a:ext cx="5505450" cy="147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86</xdr:row>
      <xdr:rowOff>123825</xdr:rowOff>
    </xdr:from>
    <xdr:to>
      <xdr:col>33</xdr:col>
      <xdr:colOff>133350</xdr:colOff>
      <xdr:row>92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30025" y="16583025"/>
          <a:ext cx="4610100" cy="1019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342900</xdr:colOff>
      <xdr:row>92</xdr:row>
      <xdr:rowOff>180975</xdr:rowOff>
    </xdr:from>
    <xdr:to>
      <xdr:col>35</xdr:col>
      <xdr:colOff>28575</xdr:colOff>
      <xdr:row>100</xdr:row>
      <xdr:rowOff>133350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1525250" y="17783175"/>
          <a:ext cx="5505450" cy="147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19050</xdr:colOff>
      <xdr:row>117</xdr:row>
      <xdr:rowOff>152400</xdr:rowOff>
    </xdr:from>
    <xdr:to>
      <xdr:col>33</xdr:col>
      <xdr:colOff>161925</xdr:colOff>
      <xdr:row>123</xdr:row>
      <xdr:rowOff>28575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49075" y="22517100"/>
          <a:ext cx="4619625" cy="1019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323850</xdr:colOff>
      <xdr:row>124</xdr:row>
      <xdr:rowOff>0</xdr:rowOff>
    </xdr:from>
    <xdr:to>
      <xdr:col>35</xdr:col>
      <xdr:colOff>9525</xdr:colOff>
      <xdr:row>131</xdr:row>
      <xdr:rowOff>142875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1506200" y="23698200"/>
          <a:ext cx="5505450" cy="147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142</xdr:row>
      <xdr:rowOff>152400</xdr:rowOff>
    </xdr:from>
    <xdr:to>
      <xdr:col>33</xdr:col>
      <xdr:colOff>133350</xdr:colOff>
      <xdr:row>148</xdr:row>
      <xdr:rowOff>28575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30025" y="27279600"/>
          <a:ext cx="4610100" cy="1019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247650</xdr:colOff>
      <xdr:row>149</xdr:row>
      <xdr:rowOff>9525</xdr:rowOff>
    </xdr:from>
    <xdr:to>
      <xdr:col>34</xdr:col>
      <xdr:colOff>381000</xdr:colOff>
      <xdr:row>156</xdr:row>
      <xdr:rowOff>152400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1430000" y="28470225"/>
          <a:ext cx="5505450" cy="1476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148"/>
  <sheetViews>
    <sheetView tabSelected="1" zoomScale="70" zoomScaleNormal="70" workbookViewId="0" topLeftCell="A29">
      <selection activeCell="B55" sqref="B55"/>
    </sheetView>
  </sheetViews>
  <sheetFormatPr defaultColWidth="6.7109375" defaultRowHeight="15" customHeight="1"/>
  <cols>
    <col min="1" max="1" width="35.421875" style="0" customWidth="1"/>
    <col min="2" max="2" width="7.8515625" style="0" customWidth="1"/>
  </cols>
  <sheetData>
    <row r="3" spans="1:30" ht="15" customHeight="1">
      <c r="A3" s="345" t="s">
        <v>0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</row>
    <row r="4" spans="1:30" ht="15" customHeight="1">
      <c r="A4" s="345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</row>
    <row r="7" spans="1:30" ht="15" customHeight="1">
      <c r="A7" s="1" t="s">
        <v>1</v>
      </c>
      <c r="B7" s="2"/>
      <c r="C7" s="346" t="s">
        <v>2</v>
      </c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7" t="s">
        <v>3</v>
      </c>
      <c r="X7" s="347"/>
      <c r="Y7" s="347"/>
      <c r="Z7" s="347"/>
      <c r="AA7" s="347"/>
      <c r="AB7" s="347"/>
      <c r="AC7" s="347"/>
      <c r="AD7" s="347"/>
    </row>
    <row r="8" spans="1:30" ht="15" customHeight="1">
      <c r="A8" s="2"/>
      <c r="B8" s="2"/>
      <c r="C8" s="348" t="s">
        <v>4</v>
      </c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50"/>
      <c r="O8" s="348" t="s">
        <v>5</v>
      </c>
      <c r="P8" s="349"/>
      <c r="Q8" s="349"/>
      <c r="R8" s="349"/>
      <c r="S8" s="349"/>
      <c r="T8" s="349"/>
      <c r="U8" s="349"/>
      <c r="V8" s="350"/>
      <c r="W8" s="351" t="s">
        <v>6</v>
      </c>
      <c r="X8" s="352"/>
      <c r="Y8" s="352"/>
      <c r="Z8" s="353"/>
      <c r="AA8" s="351" t="s">
        <v>7</v>
      </c>
      <c r="AB8" s="352"/>
      <c r="AC8" s="352"/>
      <c r="AD8" s="353"/>
    </row>
    <row r="9" spans="1:30" ht="15" customHeight="1">
      <c r="A9" s="2"/>
      <c r="B9" s="2"/>
      <c r="C9" s="3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5" t="s">
        <v>19</v>
      </c>
      <c r="O9" s="6" t="s">
        <v>20</v>
      </c>
      <c r="P9" s="6" t="s">
        <v>21</v>
      </c>
      <c r="Q9" s="6" t="s">
        <v>22</v>
      </c>
      <c r="R9" s="6" t="s">
        <v>23</v>
      </c>
      <c r="S9" s="6" t="s">
        <v>24</v>
      </c>
      <c r="T9" s="6" t="s">
        <v>25</v>
      </c>
      <c r="U9" s="6" t="s">
        <v>26</v>
      </c>
      <c r="V9" s="7" t="s">
        <v>27</v>
      </c>
      <c r="W9" s="8" t="s">
        <v>28</v>
      </c>
      <c r="X9" s="8" t="s">
        <v>29</v>
      </c>
      <c r="Y9" s="8" t="s">
        <v>30</v>
      </c>
      <c r="Z9" s="9" t="s">
        <v>31</v>
      </c>
      <c r="AA9" s="8" t="s">
        <v>32</v>
      </c>
      <c r="AB9" s="8" t="s">
        <v>33</v>
      </c>
      <c r="AC9" s="8" t="s">
        <v>34</v>
      </c>
      <c r="AD9" s="9" t="s">
        <v>35</v>
      </c>
    </row>
    <row r="10" spans="1:30" ht="15" customHeight="1">
      <c r="A10" s="10" t="s">
        <v>36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  <c r="P10" s="12"/>
      <c r="Q10" s="12"/>
      <c r="R10" s="12"/>
      <c r="S10" s="12"/>
      <c r="T10" s="12"/>
      <c r="U10" s="12"/>
      <c r="V10" s="12"/>
      <c r="W10" s="13"/>
      <c r="X10" s="13"/>
      <c r="Y10" s="13"/>
      <c r="Z10" s="13"/>
      <c r="AA10" s="14"/>
      <c r="AB10" s="14"/>
      <c r="AC10" s="14"/>
      <c r="AD10" s="14"/>
    </row>
    <row r="11" spans="1:30" ht="15" customHeight="1">
      <c r="A11" s="15" t="s">
        <v>37</v>
      </c>
      <c r="B11" s="16" t="s">
        <v>38</v>
      </c>
      <c r="C11" s="17">
        <v>14</v>
      </c>
      <c r="D11" s="17">
        <v>16</v>
      </c>
      <c r="E11" s="17">
        <v>18</v>
      </c>
      <c r="F11" s="17">
        <v>20</v>
      </c>
      <c r="G11" s="17">
        <v>22</v>
      </c>
      <c r="H11" s="17">
        <v>24</v>
      </c>
      <c r="I11" s="17">
        <v>27</v>
      </c>
      <c r="J11" s="17">
        <v>30</v>
      </c>
      <c r="K11" s="17">
        <v>35</v>
      </c>
      <c r="L11" s="17">
        <v>40</v>
      </c>
      <c r="M11" s="17">
        <v>45</v>
      </c>
      <c r="N11" s="17">
        <v>50</v>
      </c>
      <c r="O11" s="18">
        <v>18</v>
      </c>
      <c r="P11" s="18">
        <v>24</v>
      </c>
      <c r="Q11" s="18">
        <v>30</v>
      </c>
      <c r="R11" s="18">
        <v>35</v>
      </c>
      <c r="S11" s="18">
        <v>40</v>
      </c>
      <c r="T11" s="18">
        <v>50</v>
      </c>
      <c r="U11" s="18">
        <v>60</v>
      </c>
      <c r="V11" s="18">
        <v>70</v>
      </c>
      <c r="W11" s="19">
        <v>24</v>
      </c>
      <c r="X11" s="19">
        <v>28</v>
      </c>
      <c r="Y11" s="19">
        <v>32</v>
      </c>
      <c r="Z11" s="19">
        <v>36</v>
      </c>
      <c r="AA11" s="20">
        <v>24</v>
      </c>
      <c r="AB11" s="20">
        <v>28</v>
      </c>
      <c r="AC11" s="20">
        <v>32</v>
      </c>
      <c r="AD11" s="20">
        <v>36</v>
      </c>
    </row>
    <row r="12" spans="1:30" ht="15" customHeight="1">
      <c r="A12" s="21" t="s">
        <v>39</v>
      </c>
      <c r="B12" s="22" t="s">
        <v>40</v>
      </c>
      <c r="C12" s="23">
        <v>8</v>
      </c>
      <c r="D12" s="23">
        <v>10</v>
      </c>
      <c r="E12" s="23">
        <v>11</v>
      </c>
      <c r="F12" s="23">
        <v>12</v>
      </c>
      <c r="G12" s="23">
        <v>13</v>
      </c>
      <c r="H12" s="23">
        <v>14</v>
      </c>
      <c r="I12" s="23">
        <v>16</v>
      </c>
      <c r="J12" s="23">
        <v>18</v>
      </c>
      <c r="K12" s="23">
        <v>21</v>
      </c>
      <c r="L12" s="23">
        <v>24</v>
      </c>
      <c r="M12" s="23">
        <v>27</v>
      </c>
      <c r="N12" s="23">
        <v>30</v>
      </c>
      <c r="O12" s="24">
        <v>11</v>
      </c>
      <c r="P12" s="24">
        <v>14</v>
      </c>
      <c r="Q12" s="24">
        <v>18</v>
      </c>
      <c r="R12" s="24">
        <v>21</v>
      </c>
      <c r="S12" s="24">
        <v>24</v>
      </c>
      <c r="T12" s="24">
        <v>30</v>
      </c>
      <c r="U12" s="24">
        <v>36</v>
      </c>
      <c r="V12" s="24">
        <v>42</v>
      </c>
      <c r="W12" s="19">
        <v>16.5</v>
      </c>
      <c r="X12" s="19">
        <v>19.5</v>
      </c>
      <c r="Y12" s="19">
        <v>22.5</v>
      </c>
      <c r="Z12" s="19">
        <v>26</v>
      </c>
      <c r="AA12" s="20">
        <v>14</v>
      </c>
      <c r="AB12" s="20">
        <v>16.5</v>
      </c>
      <c r="AC12" s="20">
        <v>19.5</v>
      </c>
      <c r="AD12" s="20">
        <v>22.5</v>
      </c>
    </row>
    <row r="13" spans="1:30" ht="15" customHeight="1">
      <c r="A13" s="21" t="s">
        <v>41</v>
      </c>
      <c r="B13" s="22" t="s">
        <v>42</v>
      </c>
      <c r="C13" s="23">
        <v>0.4</v>
      </c>
      <c r="D13" s="23">
        <v>0.4</v>
      </c>
      <c r="E13" s="23">
        <v>0.4</v>
      </c>
      <c r="F13" s="23">
        <v>0.4</v>
      </c>
      <c r="G13" s="23">
        <v>0.4</v>
      </c>
      <c r="H13" s="23">
        <v>0.4</v>
      </c>
      <c r="I13" s="23">
        <v>0.4</v>
      </c>
      <c r="J13" s="23">
        <v>0.4</v>
      </c>
      <c r="K13" s="23">
        <v>0.4</v>
      </c>
      <c r="L13" s="23">
        <v>0.4</v>
      </c>
      <c r="M13" s="23">
        <v>0.4</v>
      </c>
      <c r="N13" s="23">
        <v>0.4</v>
      </c>
      <c r="O13" s="24">
        <v>0.6</v>
      </c>
      <c r="P13" s="24">
        <v>0.6</v>
      </c>
      <c r="Q13" s="24">
        <v>0.6</v>
      </c>
      <c r="R13" s="24">
        <v>0.6</v>
      </c>
      <c r="S13" s="24">
        <v>0.6</v>
      </c>
      <c r="T13" s="24">
        <v>0.6</v>
      </c>
      <c r="U13" s="24">
        <v>0.6</v>
      </c>
      <c r="V13" s="24">
        <v>0.6</v>
      </c>
      <c r="W13" s="19">
        <v>0.4</v>
      </c>
      <c r="X13" s="19">
        <v>0.45</v>
      </c>
      <c r="Y13" s="19">
        <v>0.5</v>
      </c>
      <c r="Z13" s="19">
        <v>0.6</v>
      </c>
      <c r="AA13" s="20">
        <v>0.35</v>
      </c>
      <c r="AB13" s="20">
        <v>0.4</v>
      </c>
      <c r="AC13" s="20">
        <v>0.45</v>
      </c>
      <c r="AD13" s="20">
        <v>0.5</v>
      </c>
    </row>
    <row r="14" spans="1:30" ht="15" customHeight="1">
      <c r="A14" s="21" t="s">
        <v>43</v>
      </c>
      <c r="B14" s="22" t="s">
        <v>44</v>
      </c>
      <c r="C14" s="23">
        <v>16</v>
      </c>
      <c r="D14" s="23">
        <v>17</v>
      </c>
      <c r="E14" s="23">
        <v>18</v>
      </c>
      <c r="F14" s="23">
        <v>19</v>
      </c>
      <c r="G14" s="23">
        <v>20</v>
      </c>
      <c r="H14" s="23">
        <v>22</v>
      </c>
      <c r="I14" s="23">
        <v>22</v>
      </c>
      <c r="J14" s="23">
        <v>23</v>
      </c>
      <c r="K14" s="23">
        <v>25</v>
      </c>
      <c r="L14" s="23">
        <v>26</v>
      </c>
      <c r="M14" s="23">
        <v>27</v>
      </c>
      <c r="N14" s="23">
        <v>29</v>
      </c>
      <c r="O14" s="24">
        <v>18</v>
      </c>
      <c r="P14" s="24">
        <v>21</v>
      </c>
      <c r="Q14" s="24">
        <v>23</v>
      </c>
      <c r="R14" s="24">
        <v>25</v>
      </c>
      <c r="S14" s="24">
        <v>26</v>
      </c>
      <c r="T14" s="24">
        <v>29</v>
      </c>
      <c r="U14" s="24">
        <v>32</v>
      </c>
      <c r="V14" s="24">
        <v>34</v>
      </c>
      <c r="W14" s="19">
        <v>24</v>
      </c>
      <c r="X14" s="19">
        <v>26.5</v>
      </c>
      <c r="Y14" s="19">
        <v>29</v>
      </c>
      <c r="Z14" s="19">
        <v>31</v>
      </c>
      <c r="AA14" s="20">
        <v>21</v>
      </c>
      <c r="AB14" s="20">
        <v>24</v>
      </c>
      <c r="AC14" s="20">
        <v>26.5</v>
      </c>
      <c r="AD14" s="20">
        <v>29</v>
      </c>
    </row>
    <row r="15" spans="1:30" ht="15" customHeight="1">
      <c r="A15" s="25" t="s">
        <v>45</v>
      </c>
      <c r="B15" s="22" t="s">
        <v>46</v>
      </c>
      <c r="C15" s="23">
        <v>2</v>
      </c>
      <c r="D15" s="23">
        <v>2.2</v>
      </c>
      <c r="E15" s="23">
        <v>2.2</v>
      </c>
      <c r="F15" s="23">
        <v>2.3</v>
      </c>
      <c r="G15" s="23">
        <v>2.4</v>
      </c>
      <c r="H15" s="23">
        <v>2.5</v>
      </c>
      <c r="I15" s="23">
        <v>2.6</v>
      </c>
      <c r="J15" s="23">
        <v>2.7</v>
      </c>
      <c r="K15" s="23">
        <v>2.8</v>
      </c>
      <c r="L15" s="23">
        <v>2.9</v>
      </c>
      <c r="M15" s="23">
        <v>3.1</v>
      </c>
      <c r="N15" s="23">
        <v>3.2</v>
      </c>
      <c r="O15" s="24">
        <v>7.5</v>
      </c>
      <c r="P15" s="24">
        <v>7.8</v>
      </c>
      <c r="Q15" s="24">
        <v>8</v>
      </c>
      <c r="R15" s="24">
        <v>8.1</v>
      </c>
      <c r="S15" s="24">
        <v>8.3</v>
      </c>
      <c r="T15" s="24">
        <v>9.3</v>
      </c>
      <c r="U15" s="24">
        <v>10.5</v>
      </c>
      <c r="V15" s="24">
        <v>13.5</v>
      </c>
      <c r="W15" s="19">
        <v>2.7</v>
      </c>
      <c r="X15" s="19">
        <v>3</v>
      </c>
      <c r="Y15" s="19">
        <v>3.3</v>
      </c>
      <c r="Z15" s="19">
        <v>3.6</v>
      </c>
      <c r="AA15" s="20">
        <v>2.4</v>
      </c>
      <c r="AB15" s="20">
        <v>2.7</v>
      </c>
      <c r="AC15" s="20">
        <v>3</v>
      </c>
      <c r="AD15" s="20">
        <v>3.3</v>
      </c>
    </row>
    <row r="16" spans="1:30" ht="15" customHeight="1">
      <c r="A16" s="26" t="s">
        <v>47</v>
      </c>
      <c r="B16" s="27" t="s">
        <v>48</v>
      </c>
      <c r="C16" s="28">
        <v>3</v>
      </c>
      <c r="D16" s="28">
        <v>3.2</v>
      </c>
      <c r="E16" s="28">
        <v>3.4</v>
      </c>
      <c r="F16" s="28">
        <v>3.6</v>
      </c>
      <c r="G16" s="28">
        <v>3.8</v>
      </c>
      <c r="H16" s="28">
        <v>4</v>
      </c>
      <c r="I16" s="28">
        <v>4</v>
      </c>
      <c r="J16" s="28">
        <v>4</v>
      </c>
      <c r="K16" s="28">
        <v>4</v>
      </c>
      <c r="L16" s="28">
        <v>4</v>
      </c>
      <c r="M16" s="28">
        <v>4</v>
      </c>
      <c r="N16" s="28">
        <v>4</v>
      </c>
      <c r="O16" s="29">
        <v>3.4</v>
      </c>
      <c r="P16" s="29">
        <v>4</v>
      </c>
      <c r="Q16" s="29">
        <v>4</v>
      </c>
      <c r="R16" s="29">
        <v>4</v>
      </c>
      <c r="S16" s="29">
        <v>4</v>
      </c>
      <c r="T16" s="29">
        <v>4</v>
      </c>
      <c r="U16" s="29">
        <v>4.5</v>
      </c>
      <c r="V16" s="29">
        <v>5</v>
      </c>
      <c r="W16" s="30">
        <v>2.7</v>
      </c>
      <c r="X16" s="30">
        <v>3.2</v>
      </c>
      <c r="Y16" s="30">
        <v>3.8</v>
      </c>
      <c r="Z16" s="30">
        <v>4.3</v>
      </c>
      <c r="AA16" s="31">
        <v>2.2</v>
      </c>
      <c r="AB16" s="31">
        <v>2.7</v>
      </c>
      <c r="AC16" s="31">
        <v>3.2</v>
      </c>
      <c r="AD16" s="31">
        <v>3.8</v>
      </c>
    </row>
    <row r="17" spans="1:30" ht="15" customHeight="1">
      <c r="A17" s="32" t="s">
        <v>49</v>
      </c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19"/>
      <c r="X17" s="19"/>
      <c r="Y17" s="19"/>
      <c r="Z17" s="19"/>
      <c r="AA17" s="20"/>
      <c r="AB17" s="20"/>
      <c r="AC17" s="20"/>
      <c r="AD17" s="20"/>
    </row>
    <row r="18" spans="1:30" ht="15" customHeight="1">
      <c r="A18" s="26" t="s">
        <v>50</v>
      </c>
      <c r="B18" s="33" t="s">
        <v>51</v>
      </c>
      <c r="C18" s="28">
        <v>290</v>
      </c>
      <c r="D18" s="28">
        <v>310</v>
      </c>
      <c r="E18" s="28">
        <v>320</v>
      </c>
      <c r="F18" s="28">
        <v>330</v>
      </c>
      <c r="G18" s="28">
        <v>340</v>
      </c>
      <c r="H18" s="28">
        <v>350</v>
      </c>
      <c r="I18" s="28">
        <v>370</v>
      </c>
      <c r="J18" s="28">
        <v>380</v>
      </c>
      <c r="K18" s="28">
        <v>400</v>
      </c>
      <c r="L18" s="28">
        <v>420</v>
      </c>
      <c r="M18" s="28">
        <v>440</v>
      </c>
      <c r="N18" s="28">
        <v>460</v>
      </c>
      <c r="O18" s="29">
        <v>500</v>
      </c>
      <c r="P18" s="29">
        <v>520</v>
      </c>
      <c r="Q18" s="29">
        <v>530</v>
      </c>
      <c r="R18" s="29">
        <v>540</v>
      </c>
      <c r="S18" s="29">
        <v>550</v>
      </c>
      <c r="T18" s="29">
        <v>620</v>
      </c>
      <c r="U18" s="29">
        <v>700</v>
      </c>
      <c r="V18" s="29">
        <v>900</v>
      </c>
      <c r="W18" s="30">
        <v>380</v>
      </c>
      <c r="X18" s="30">
        <v>410</v>
      </c>
      <c r="Y18" s="30">
        <v>430</v>
      </c>
      <c r="Z18" s="30">
        <v>450</v>
      </c>
      <c r="AA18" s="31">
        <v>350</v>
      </c>
      <c r="AB18" s="31">
        <v>380</v>
      </c>
      <c r="AC18" s="31">
        <v>410</v>
      </c>
      <c r="AD18" s="31">
        <v>430</v>
      </c>
    </row>
    <row r="19" spans="1:30" ht="15" customHeight="1">
      <c r="A19" s="34" t="s">
        <v>52</v>
      </c>
      <c r="B19" s="33" t="s">
        <v>53</v>
      </c>
      <c r="C19" s="28">
        <v>1.3</v>
      </c>
      <c r="D19" s="28">
        <v>1.3</v>
      </c>
      <c r="E19" s="28">
        <v>1.3</v>
      </c>
      <c r="F19" s="28">
        <v>1.3</v>
      </c>
      <c r="G19" s="28">
        <v>1.3</v>
      </c>
      <c r="H19" s="28">
        <v>1.3</v>
      </c>
      <c r="I19" s="28">
        <v>1.3</v>
      </c>
      <c r="J19" s="28">
        <v>1.3</v>
      </c>
      <c r="K19" s="28">
        <v>1.3</v>
      </c>
      <c r="L19" s="28">
        <v>1.3</v>
      </c>
      <c r="M19" s="28">
        <v>1.3</v>
      </c>
      <c r="N19" s="28">
        <v>1.3</v>
      </c>
      <c r="O19" s="29">
        <v>1.3</v>
      </c>
      <c r="P19" s="29">
        <v>1.3</v>
      </c>
      <c r="Q19" s="29">
        <v>1.3</v>
      </c>
      <c r="R19" s="29">
        <v>1.3</v>
      </c>
      <c r="S19" s="29">
        <v>1.3</v>
      </c>
      <c r="T19" s="29">
        <v>1.3</v>
      </c>
      <c r="U19" s="29">
        <v>1.3</v>
      </c>
      <c r="V19" s="29">
        <v>1.3</v>
      </c>
      <c r="W19" s="30">
        <v>1.25</v>
      </c>
      <c r="X19" s="30">
        <v>1.25</v>
      </c>
      <c r="Y19" s="30">
        <v>1.25</v>
      </c>
      <c r="Z19" s="30">
        <v>1.25</v>
      </c>
      <c r="AA19" s="31">
        <v>1.25</v>
      </c>
      <c r="AB19" s="31">
        <v>1.25</v>
      </c>
      <c r="AC19" s="31">
        <v>1.25</v>
      </c>
      <c r="AD19" s="35">
        <v>1.25</v>
      </c>
    </row>
    <row r="20" spans="1:30" ht="15" customHeight="1">
      <c r="A20" s="32" t="s">
        <v>54</v>
      </c>
      <c r="B20" s="36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19"/>
      <c r="X20" s="19"/>
      <c r="Y20" s="19"/>
      <c r="Z20" s="19"/>
      <c r="AA20" s="20"/>
      <c r="AB20" s="20"/>
      <c r="AC20" s="20"/>
      <c r="AD20" s="20"/>
    </row>
    <row r="21" spans="1:30" ht="15" customHeight="1">
      <c r="A21" s="37" t="s">
        <v>55</v>
      </c>
      <c r="B21" s="38" t="s">
        <v>56</v>
      </c>
      <c r="C21" s="23">
        <v>7000</v>
      </c>
      <c r="D21" s="23">
        <v>8000</v>
      </c>
      <c r="E21" s="23">
        <v>9000</v>
      </c>
      <c r="F21" s="23">
        <v>9500</v>
      </c>
      <c r="G21" s="23">
        <v>10000</v>
      </c>
      <c r="H21" s="23">
        <v>11000</v>
      </c>
      <c r="I21" s="23">
        <v>11500</v>
      </c>
      <c r="J21" s="23">
        <v>12000</v>
      </c>
      <c r="K21" s="23">
        <v>13000</v>
      </c>
      <c r="L21" s="23">
        <v>14000</v>
      </c>
      <c r="M21" s="23">
        <v>15000</v>
      </c>
      <c r="N21" s="23">
        <v>16000</v>
      </c>
      <c r="O21" s="24">
        <v>9500</v>
      </c>
      <c r="P21" s="24">
        <v>10000</v>
      </c>
      <c r="Q21" s="24">
        <v>11000</v>
      </c>
      <c r="R21" s="24">
        <v>12000</v>
      </c>
      <c r="S21" s="24">
        <v>13000</v>
      </c>
      <c r="T21" s="24">
        <v>14000</v>
      </c>
      <c r="U21" s="24">
        <v>17000</v>
      </c>
      <c r="V21" s="24">
        <v>20000</v>
      </c>
      <c r="W21" s="39">
        <v>11600</v>
      </c>
      <c r="X21" s="39">
        <v>12600</v>
      </c>
      <c r="Y21" s="39">
        <v>13700</v>
      </c>
      <c r="Z21" s="39">
        <v>14700</v>
      </c>
      <c r="AA21" s="40">
        <v>11600</v>
      </c>
      <c r="AB21" s="40">
        <v>12600</v>
      </c>
      <c r="AC21" s="40">
        <v>13700</v>
      </c>
      <c r="AD21" s="40">
        <v>14700</v>
      </c>
    </row>
    <row r="22" spans="1:30" ht="15" customHeight="1">
      <c r="A22" s="37" t="s">
        <v>57</v>
      </c>
      <c r="B22" s="38" t="s">
        <v>58</v>
      </c>
      <c r="C22" s="23">
        <v>4700</v>
      </c>
      <c r="D22" s="23">
        <v>5400</v>
      </c>
      <c r="E22" s="23">
        <v>6000</v>
      </c>
      <c r="F22" s="23">
        <v>6400</v>
      </c>
      <c r="G22" s="23">
        <v>6700</v>
      </c>
      <c r="H22" s="23">
        <v>7400</v>
      </c>
      <c r="I22" s="23">
        <v>7700</v>
      </c>
      <c r="J22" s="23">
        <v>8000</v>
      </c>
      <c r="K22" s="23">
        <v>8700</v>
      </c>
      <c r="L22" s="23">
        <v>9400</v>
      </c>
      <c r="M22" s="23">
        <v>10000</v>
      </c>
      <c r="N22" s="23">
        <v>10700</v>
      </c>
      <c r="O22" s="24">
        <v>8000</v>
      </c>
      <c r="P22" s="24">
        <v>8500</v>
      </c>
      <c r="Q22" s="24">
        <v>9200</v>
      </c>
      <c r="R22" s="24">
        <v>10100</v>
      </c>
      <c r="S22" s="24">
        <v>10900</v>
      </c>
      <c r="T22" s="24">
        <v>11800</v>
      </c>
      <c r="U22" s="24">
        <v>14300</v>
      </c>
      <c r="V22" s="24">
        <v>16800</v>
      </c>
      <c r="W22" s="39">
        <v>9400</v>
      </c>
      <c r="X22" s="39">
        <v>10200</v>
      </c>
      <c r="Y22" s="39">
        <v>11100</v>
      </c>
      <c r="Z22" s="39">
        <v>11900</v>
      </c>
      <c r="AA22" s="40">
        <v>9400</v>
      </c>
      <c r="AB22" s="40">
        <v>10200</v>
      </c>
      <c r="AC22" s="40">
        <v>11100</v>
      </c>
      <c r="AD22" s="40">
        <v>11900</v>
      </c>
    </row>
    <row r="23" spans="1:30" ht="15" customHeight="1">
      <c r="A23" s="37" t="s">
        <v>59</v>
      </c>
      <c r="B23" s="38" t="s">
        <v>60</v>
      </c>
      <c r="C23" s="23">
        <v>230</v>
      </c>
      <c r="D23" s="23">
        <v>270</v>
      </c>
      <c r="E23" s="23">
        <v>300</v>
      </c>
      <c r="F23" s="23">
        <v>320</v>
      </c>
      <c r="G23" s="23">
        <v>333</v>
      </c>
      <c r="H23" s="23">
        <v>370</v>
      </c>
      <c r="I23" s="23">
        <v>380</v>
      </c>
      <c r="J23" s="23">
        <v>400</v>
      </c>
      <c r="K23" s="23">
        <v>430</v>
      </c>
      <c r="L23" s="23">
        <v>470</v>
      </c>
      <c r="M23" s="23">
        <v>500</v>
      </c>
      <c r="N23" s="23">
        <v>533</v>
      </c>
      <c r="O23" s="24">
        <v>630</v>
      </c>
      <c r="P23" s="24">
        <v>670</v>
      </c>
      <c r="Q23" s="24">
        <v>730</v>
      </c>
      <c r="R23" s="24">
        <v>800</v>
      </c>
      <c r="S23" s="24">
        <v>860</v>
      </c>
      <c r="T23" s="24">
        <v>930</v>
      </c>
      <c r="U23" s="24">
        <v>1130</v>
      </c>
      <c r="V23" s="24">
        <v>1330</v>
      </c>
      <c r="W23" s="39">
        <v>390</v>
      </c>
      <c r="X23" s="39">
        <v>420</v>
      </c>
      <c r="Y23" s="39">
        <v>460</v>
      </c>
      <c r="Z23" s="39">
        <v>490</v>
      </c>
      <c r="AA23" s="40">
        <v>320</v>
      </c>
      <c r="AB23" s="40">
        <v>390</v>
      </c>
      <c r="AC23" s="40">
        <v>420</v>
      </c>
      <c r="AD23" s="40">
        <v>460</v>
      </c>
    </row>
    <row r="24" spans="1:30" ht="15" customHeight="1">
      <c r="A24" s="26" t="s">
        <v>61</v>
      </c>
      <c r="B24" s="33" t="s">
        <v>62</v>
      </c>
      <c r="C24" s="28">
        <v>440</v>
      </c>
      <c r="D24" s="28">
        <v>500</v>
      </c>
      <c r="E24" s="28">
        <v>560</v>
      </c>
      <c r="F24" s="28">
        <v>590</v>
      </c>
      <c r="G24" s="28">
        <v>630</v>
      </c>
      <c r="H24" s="28">
        <v>690</v>
      </c>
      <c r="I24" s="28">
        <v>720</v>
      </c>
      <c r="J24" s="28">
        <v>750</v>
      </c>
      <c r="K24" s="28">
        <v>810</v>
      </c>
      <c r="L24" s="28">
        <v>888</v>
      </c>
      <c r="M24" s="28">
        <v>940</v>
      </c>
      <c r="N24" s="28">
        <v>1000</v>
      </c>
      <c r="O24" s="29">
        <v>590</v>
      </c>
      <c r="P24" s="29">
        <v>620</v>
      </c>
      <c r="Q24" s="29">
        <v>690</v>
      </c>
      <c r="R24" s="29">
        <v>750</v>
      </c>
      <c r="S24" s="29">
        <v>810</v>
      </c>
      <c r="T24" s="29">
        <v>888</v>
      </c>
      <c r="U24" s="29">
        <v>1060</v>
      </c>
      <c r="V24" s="29">
        <v>1250</v>
      </c>
      <c r="W24" s="30">
        <v>720</v>
      </c>
      <c r="X24" s="30">
        <v>780</v>
      </c>
      <c r="Y24" s="30">
        <v>850</v>
      </c>
      <c r="Z24" s="30">
        <v>910</v>
      </c>
      <c r="AA24" s="31">
        <v>590</v>
      </c>
      <c r="AB24" s="31">
        <v>720</v>
      </c>
      <c r="AC24" s="31">
        <v>780</v>
      </c>
      <c r="AD24" s="35">
        <v>850</v>
      </c>
    </row>
    <row r="27" spans="1:7" ht="15" customHeight="1">
      <c r="A27" s="41"/>
      <c r="B27" s="42"/>
      <c r="C27" s="349" t="s">
        <v>63</v>
      </c>
      <c r="D27" s="349"/>
      <c r="E27" s="349"/>
      <c r="F27" s="349"/>
      <c r="G27" s="350"/>
    </row>
    <row r="28" spans="1:7" ht="15" customHeight="1">
      <c r="A28" s="43" t="s">
        <v>64</v>
      </c>
      <c r="B28" s="44"/>
      <c r="C28" s="360" t="s">
        <v>65</v>
      </c>
      <c r="D28" s="360"/>
      <c r="E28" s="360"/>
      <c r="F28" s="360"/>
      <c r="G28" s="361"/>
    </row>
    <row r="29" spans="1:7" ht="15" customHeight="1">
      <c r="A29" s="45"/>
      <c r="B29" s="46"/>
      <c r="C29" s="47" t="s">
        <v>66</v>
      </c>
      <c r="D29" s="47" t="s">
        <v>67</v>
      </c>
      <c r="E29" s="48" t="s">
        <v>68</v>
      </c>
      <c r="F29" s="48" t="s">
        <v>69</v>
      </c>
      <c r="G29" s="49" t="s">
        <v>70</v>
      </c>
    </row>
    <row r="30" spans="1:7" ht="15" customHeight="1">
      <c r="A30" s="45" t="s">
        <v>71</v>
      </c>
      <c r="B30" s="46">
        <v>1</v>
      </c>
      <c r="C30" s="17">
        <v>0.6</v>
      </c>
      <c r="D30" s="17">
        <v>0.7</v>
      </c>
      <c r="E30" s="17">
        <v>0.8</v>
      </c>
      <c r="F30" s="17">
        <v>0.9</v>
      </c>
      <c r="G30" s="50">
        <v>1.1</v>
      </c>
    </row>
    <row r="31" spans="1:7" ht="15" customHeight="1">
      <c r="A31" s="45"/>
      <c r="B31" s="46">
        <v>2</v>
      </c>
      <c r="C31" s="17">
        <v>0.6</v>
      </c>
      <c r="D31" s="17">
        <v>0.7</v>
      </c>
      <c r="E31" s="17">
        <v>0.8</v>
      </c>
      <c r="F31" s="17">
        <v>0.9</v>
      </c>
      <c r="G31" s="50">
        <v>1.1</v>
      </c>
    </row>
    <row r="32" spans="1:7" ht="15" customHeight="1">
      <c r="A32" s="43"/>
      <c r="B32" s="51">
        <v>3</v>
      </c>
      <c r="C32" s="28">
        <v>0.5</v>
      </c>
      <c r="D32" s="28">
        <v>0.55</v>
      </c>
      <c r="E32" s="28">
        <v>0.65</v>
      </c>
      <c r="F32" s="28">
        <v>0.7</v>
      </c>
      <c r="G32" s="52">
        <v>0.9</v>
      </c>
    </row>
    <row r="35" spans="1:4" ht="15" customHeight="1">
      <c r="A35" s="53" t="s">
        <v>72</v>
      </c>
      <c r="B35" s="54" t="s">
        <v>73</v>
      </c>
      <c r="C35" s="54" t="s">
        <v>74</v>
      </c>
      <c r="D35" s="55" t="s">
        <v>75</v>
      </c>
    </row>
    <row r="36" spans="1:4" ht="15" customHeight="1">
      <c r="A36" s="56" t="s">
        <v>76</v>
      </c>
      <c r="B36" s="57"/>
      <c r="C36" s="57"/>
      <c r="D36" s="58"/>
    </row>
    <row r="37" spans="1:4" ht="15" customHeight="1">
      <c r="A37" s="56" t="s">
        <v>77</v>
      </c>
      <c r="B37" s="39">
        <v>0.7</v>
      </c>
      <c r="C37" s="39">
        <v>0.5</v>
      </c>
      <c r="D37" s="59">
        <v>0.3</v>
      </c>
    </row>
    <row r="38" spans="1:4" ht="15" customHeight="1">
      <c r="A38" s="56" t="s">
        <v>78</v>
      </c>
      <c r="B38" s="39">
        <v>0.7</v>
      </c>
      <c r="C38" s="39">
        <v>0.5</v>
      </c>
      <c r="D38" s="59">
        <v>0.3</v>
      </c>
    </row>
    <row r="39" spans="1:4" ht="15" customHeight="1">
      <c r="A39" s="56" t="s">
        <v>79</v>
      </c>
      <c r="B39" s="39">
        <v>0.7</v>
      </c>
      <c r="C39" s="39">
        <v>0.7</v>
      </c>
      <c r="D39" s="59">
        <v>0.6</v>
      </c>
    </row>
    <row r="40" spans="1:4" ht="15" customHeight="1">
      <c r="A40" s="56" t="s">
        <v>80</v>
      </c>
      <c r="B40" s="39">
        <v>0.7</v>
      </c>
      <c r="C40" s="39">
        <v>0.7</v>
      </c>
      <c r="D40" s="59">
        <v>0.6</v>
      </c>
    </row>
    <row r="41" spans="1:4" ht="15" customHeight="1">
      <c r="A41" s="60" t="s">
        <v>81</v>
      </c>
      <c r="B41" s="39">
        <v>0.7</v>
      </c>
      <c r="C41" s="39">
        <v>0.7</v>
      </c>
      <c r="D41" s="59">
        <v>0.6</v>
      </c>
    </row>
    <row r="42" spans="1:4" ht="15" customHeight="1">
      <c r="A42" s="56" t="s">
        <v>82</v>
      </c>
      <c r="B42" s="39"/>
      <c r="C42" s="39"/>
      <c r="D42" s="59"/>
    </row>
    <row r="43" spans="1:4" ht="15" customHeight="1">
      <c r="A43" s="61" t="s">
        <v>83</v>
      </c>
      <c r="B43" s="30">
        <v>0</v>
      </c>
      <c r="C43" s="30">
        <v>0</v>
      </c>
      <c r="D43" s="62">
        <v>0</v>
      </c>
    </row>
    <row r="44" spans="1:4" ht="15" customHeight="1">
      <c r="A44" s="63" t="s">
        <v>84</v>
      </c>
      <c r="B44" s="13">
        <v>0.7</v>
      </c>
      <c r="C44" s="13">
        <v>0.5</v>
      </c>
      <c r="D44" s="64">
        <v>0.2</v>
      </c>
    </row>
    <row r="45" spans="1:4" ht="15" customHeight="1">
      <c r="A45" s="61" t="s">
        <v>85</v>
      </c>
      <c r="B45" s="30">
        <v>0.5</v>
      </c>
      <c r="C45" s="30">
        <v>0.2</v>
      </c>
      <c r="D45" s="62">
        <v>0</v>
      </c>
    </row>
    <row r="46" spans="1:4" ht="15" customHeight="1">
      <c r="A46" s="65" t="s">
        <v>86</v>
      </c>
      <c r="B46" s="66">
        <v>0.6</v>
      </c>
      <c r="C46" s="66">
        <v>0.5</v>
      </c>
      <c r="D46" s="67">
        <v>0</v>
      </c>
    </row>
    <row r="47" spans="1:4" ht="15" customHeight="1">
      <c r="A47" s="65" t="s">
        <v>87</v>
      </c>
      <c r="B47" s="66">
        <v>0.6</v>
      </c>
      <c r="C47" s="66">
        <v>0.5</v>
      </c>
      <c r="D47" s="67">
        <v>0</v>
      </c>
    </row>
    <row r="48" spans="1:4" ht="15" customHeight="1">
      <c r="A48" s="61" t="s">
        <v>88</v>
      </c>
      <c r="B48" s="30">
        <v>0.7</v>
      </c>
      <c r="C48" s="30">
        <v>0.7</v>
      </c>
      <c r="D48" s="62">
        <v>0.7</v>
      </c>
    </row>
    <row r="50" spans="1:30" ht="15" customHeight="1">
      <c r="A50" s="362" t="s">
        <v>89</v>
      </c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</row>
    <row r="51" spans="1:30" ht="15" customHeight="1">
      <c r="A51" s="362"/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</row>
    <row r="53" spans="1:13" ht="15" customHeight="1">
      <c r="A53" s="68" t="s">
        <v>90</v>
      </c>
      <c r="B53" s="69"/>
      <c r="E53" s="250" t="s">
        <v>99</v>
      </c>
      <c r="F53" s="335"/>
      <c r="G53" s="335"/>
      <c r="H53" s="335"/>
      <c r="I53" s="335"/>
      <c r="J53" s="335"/>
      <c r="K53" s="335"/>
      <c r="L53" s="335"/>
      <c r="M53" s="251"/>
    </row>
    <row r="54" spans="1:13" ht="15" customHeight="1">
      <c r="A54" s="70" t="s">
        <v>2</v>
      </c>
      <c r="B54" s="71"/>
      <c r="E54" s="363" t="s">
        <v>100</v>
      </c>
      <c r="F54" s="364"/>
      <c r="G54" s="365"/>
      <c r="H54" s="342" t="s">
        <v>101</v>
      </c>
      <c r="I54" s="343"/>
      <c r="J54" s="343" t="s">
        <v>102</v>
      </c>
      <c r="K54" s="343"/>
      <c r="L54" s="343" t="s">
        <v>103</v>
      </c>
      <c r="M54" s="344"/>
    </row>
    <row r="55" spans="1:13" ht="15" customHeight="1">
      <c r="A55" s="72" t="s">
        <v>91</v>
      </c>
      <c r="B55" s="377" t="s">
        <v>13</v>
      </c>
      <c r="E55" s="354" t="s">
        <v>2</v>
      </c>
      <c r="F55" s="355"/>
      <c r="G55" s="356"/>
      <c r="H55" s="316">
        <f>IF(MAX(B63,B64)&lt;150,150/MAX(B63,B64),1)</f>
        <v>1</v>
      </c>
      <c r="I55" s="316"/>
      <c r="J55" s="316">
        <f>IF(B64&lt;150,150/B64,1)</f>
        <v>1</v>
      </c>
      <c r="K55" s="316"/>
      <c r="L55" s="316">
        <f>IF(B63&lt;150,150/B63,1)</f>
        <v>1</v>
      </c>
      <c r="M55" s="317"/>
    </row>
    <row r="56" spans="1:13" ht="15" customHeight="1">
      <c r="A56" s="72" t="s">
        <v>71</v>
      </c>
      <c r="B56" s="377">
        <v>1</v>
      </c>
      <c r="E56" s="357"/>
      <c r="F56" s="358"/>
      <c r="G56" s="359"/>
      <c r="H56" s="342">
        <f>IF((POWER(H55,0.2))&lt;=1.3,POWER(H55,0.2),1.3)</f>
        <v>1</v>
      </c>
      <c r="I56" s="343"/>
      <c r="J56" s="343">
        <f>IF((POWER(J55,0.2))&lt;=1.3,POWER(J55,0.2),1.3)</f>
        <v>1</v>
      </c>
      <c r="K56" s="343"/>
      <c r="L56" s="343">
        <f>IF((POWER(L55,0.2))&lt;=1.3,POWER(L55,0.2),1.3)</f>
        <v>1</v>
      </c>
      <c r="M56" s="344"/>
    </row>
    <row r="57" spans="1:13" ht="15" customHeight="1">
      <c r="A57" s="74" t="s">
        <v>92</v>
      </c>
      <c r="B57" s="75">
        <f>HLOOKUP(B55,C9:V24,11,FALSE)</f>
        <v>1.3</v>
      </c>
      <c r="E57" s="252" t="s">
        <v>104</v>
      </c>
      <c r="F57" s="253"/>
      <c r="G57" s="329"/>
      <c r="H57" s="340">
        <f>IF(MAX(B63,B64)&lt;600,600/MAX(B63,B64),1)</f>
        <v>1.2</v>
      </c>
      <c r="I57" s="341"/>
      <c r="J57" s="316">
        <f>IF(B64&lt;600,600/B64,1)</f>
        <v>1.2</v>
      </c>
      <c r="K57" s="316"/>
      <c r="L57" s="316">
        <f>IF(B63&lt;600,600/B63,1)</f>
        <v>1.2</v>
      </c>
      <c r="M57" s="317"/>
    </row>
    <row r="58" spans="1:13" ht="15" customHeight="1">
      <c r="A58" s="76" t="s">
        <v>3</v>
      </c>
      <c r="B58" s="77"/>
      <c r="E58" s="254"/>
      <c r="F58" s="255"/>
      <c r="G58" s="256"/>
      <c r="H58" s="342">
        <f>IF((POWER(H57,0.1))&lt;=1.1,POWER(H57,0.1),1.1)</f>
        <v>1.0183993761470242</v>
      </c>
      <c r="I58" s="343"/>
      <c r="J58" s="343">
        <f>IF((POWER(J57,0.1))&lt;=1.1,POWER(J57,0.1),1.1)</f>
        <v>1.0183993761470242</v>
      </c>
      <c r="K58" s="343"/>
      <c r="L58" s="343">
        <f>IF((POWER(L57,0.1))&lt;=1.1,POWER(L57,0.1),1.1)</f>
        <v>1.0183993761470242</v>
      </c>
      <c r="M58" s="344"/>
    </row>
    <row r="59" spans="1:2" ht="15" customHeight="1">
      <c r="A59" s="78" t="s">
        <v>91</v>
      </c>
      <c r="B59" s="378" t="s">
        <v>33</v>
      </c>
    </row>
    <row r="60" spans="1:2" ht="15" customHeight="1">
      <c r="A60" s="78" t="s">
        <v>71</v>
      </c>
      <c r="B60" s="378">
        <v>2</v>
      </c>
    </row>
    <row r="61" spans="1:2" ht="15" customHeight="1">
      <c r="A61" s="79" t="s">
        <v>92</v>
      </c>
      <c r="B61" s="52">
        <f>HLOOKUP(B59,W9:AD24,11,FALSE)</f>
        <v>1.25</v>
      </c>
    </row>
    <row r="62" spans="1:2" ht="15" customHeight="1">
      <c r="A62" s="80" t="s">
        <v>93</v>
      </c>
      <c r="B62" s="81"/>
    </row>
    <row r="63" spans="1:2" ht="15" customHeight="1">
      <c r="A63" s="82" t="s">
        <v>94</v>
      </c>
      <c r="B63" s="379">
        <v>500</v>
      </c>
    </row>
    <row r="64" spans="1:2" ht="15" customHeight="1">
      <c r="A64" s="82" t="s">
        <v>95</v>
      </c>
      <c r="B64" s="379">
        <v>500</v>
      </c>
    </row>
    <row r="65" spans="1:2" ht="15" customHeight="1">
      <c r="A65" s="82" t="s">
        <v>96</v>
      </c>
      <c r="B65" s="83">
        <f>B63*B64</f>
        <v>250000</v>
      </c>
    </row>
    <row r="66" spans="1:2" ht="15" customHeight="1">
      <c r="A66" s="82" t="s">
        <v>97</v>
      </c>
      <c r="B66" s="83">
        <f>B63*B64^2/6</f>
        <v>20833333.333333332</v>
      </c>
    </row>
    <row r="67" spans="1:2" ht="15" customHeight="1">
      <c r="A67" s="84" t="s">
        <v>98</v>
      </c>
      <c r="B67" s="85">
        <f>B64*B63^2/6</f>
        <v>20833333.333333332</v>
      </c>
    </row>
    <row r="71" spans="1:14" ht="15" customHeight="1">
      <c r="A71" s="86"/>
      <c r="B71" s="87"/>
      <c r="C71" s="331" t="s">
        <v>105</v>
      </c>
      <c r="D71" s="331"/>
      <c r="E71" s="331"/>
      <c r="F71" s="331"/>
      <c r="G71" s="331"/>
      <c r="H71" s="331"/>
      <c r="I71" s="331"/>
      <c r="J71" s="331"/>
      <c r="K71" s="331"/>
      <c r="L71" s="331"/>
      <c r="M71" s="331"/>
      <c r="N71" s="332"/>
    </row>
    <row r="72" spans="1:14" ht="15" customHeight="1">
      <c r="A72" s="88"/>
      <c r="B72" s="89"/>
      <c r="C72" s="333" t="s">
        <v>106</v>
      </c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4"/>
    </row>
    <row r="73" spans="1:14" ht="15" customHeight="1">
      <c r="A73" s="90"/>
      <c r="B73" s="91"/>
      <c r="C73" s="92"/>
      <c r="D73" s="250" t="s">
        <v>65</v>
      </c>
      <c r="E73" s="335"/>
      <c r="F73" s="335"/>
      <c r="G73" s="335"/>
      <c r="H73" s="335"/>
      <c r="I73" s="335"/>
      <c r="J73" s="335"/>
      <c r="K73" s="335"/>
      <c r="L73" s="335"/>
      <c r="M73" s="335"/>
      <c r="N73" s="251"/>
    </row>
    <row r="74" spans="1:14" ht="15" customHeight="1">
      <c r="A74" s="93"/>
      <c r="B74" s="94"/>
      <c r="C74" s="95"/>
      <c r="D74" s="336" t="s">
        <v>107</v>
      </c>
      <c r="E74" s="336"/>
      <c r="F74" s="336"/>
      <c r="G74" s="336"/>
      <c r="H74" s="337"/>
      <c r="I74" s="93"/>
      <c r="J74" s="338" t="s">
        <v>108</v>
      </c>
      <c r="K74" s="338"/>
      <c r="L74" s="338"/>
      <c r="M74" s="338"/>
      <c r="N74" s="339"/>
    </row>
    <row r="75" spans="1:14" ht="15" customHeight="1">
      <c r="A75" s="96"/>
      <c r="B75" s="97"/>
      <c r="C75" s="98" t="s">
        <v>109</v>
      </c>
      <c r="D75" s="99" t="s">
        <v>66</v>
      </c>
      <c r="E75" s="99" t="s">
        <v>67</v>
      </c>
      <c r="F75" s="99" t="s">
        <v>68</v>
      </c>
      <c r="G75" s="99" t="s">
        <v>69</v>
      </c>
      <c r="H75" s="100" t="s">
        <v>70</v>
      </c>
      <c r="I75" s="98" t="s">
        <v>110</v>
      </c>
      <c r="J75" s="99" t="s">
        <v>66</v>
      </c>
      <c r="K75" s="99" t="s">
        <v>67</v>
      </c>
      <c r="L75" s="99" t="s">
        <v>68</v>
      </c>
      <c r="M75" s="99" t="s">
        <v>69</v>
      </c>
      <c r="N75" s="100" t="s">
        <v>70</v>
      </c>
    </row>
    <row r="76" spans="1:14" ht="15" customHeight="1">
      <c r="A76" s="101" t="s">
        <v>111</v>
      </c>
      <c r="B76" s="97"/>
      <c r="C76" s="102"/>
      <c r="D76" s="103">
        <f>VLOOKUP(B56,B30:G32,2)</f>
        <v>0.6</v>
      </c>
      <c r="E76" s="103">
        <f>VLOOKUP(B56,B30:G32,3)</f>
        <v>0.7</v>
      </c>
      <c r="F76" s="103">
        <f>VLOOKUP(B56,B30:G32,4)</f>
        <v>0.8</v>
      </c>
      <c r="G76" s="103">
        <f>VLOOKUP(B56,B30:G32,5)</f>
        <v>0.9</v>
      </c>
      <c r="H76" s="104">
        <f>VLOOKUP(B56,B30:G32,6)</f>
        <v>1.1</v>
      </c>
      <c r="I76" s="102"/>
      <c r="J76" s="103">
        <f>VLOOKUP(B60,B30:G32,2)</f>
        <v>0.6</v>
      </c>
      <c r="K76" s="103">
        <f>VLOOKUP(B60,B30:G32,3)</f>
        <v>0.7</v>
      </c>
      <c r="L76" s="103">
        <f>VLOOKUP(B60,B30:G32,4)</f>
        <v>0.8</v>
      </c>
      <c r="M76" s="103">
        <f>VLOOKUP(B60,B30:G32,5)</f>
        <v>0.9</v>
      </c>
      <c r="N76" s="104">
        <f>VLOOKUP(B60,B30:G32,6)</f>
        <v>1.1</v>
      </c>
    </row>
    <row r="77" spans="1:14" ht="15" customHeight="1">
      <c r="A77" s="105" t="s">
        <v>112</v>
      </c>
      <c r="B77" s="97"/>
      <c r="C77" s="106"/>
      <c r="D77" s="107"/>
      <c r="E77" s="107"/>
      <c r="F77" s="107"/>
      <c r="G77" s="107"/>
      <c r="H77" s="108"/>
      <c r="I77" s="102"/>
      <c r="J77" s="103"/>
      <c r="K77" s="103"/>
      <c r="L77" s="103"/>
      <c r="M77" s="103"/>
      <c r="N77" s="104"/>
    </row>
    <row r="78" spans="1:14" ht="15" customHeight="1">
      <c r="A78" s="96" t="s">
        <v>113</v>
      </c>
      <c r="B78" s="109" t="s">
        <v>114</v>
      </c>
      <c r="C78" s="110">
        <f>HLOOKUP(B55,C9:V24,3)</f>
        <v>24</v>
      </c>
      <c r="D78" s="111">
        <f>D76*C78/B57</f>
        <v>11.076923076923075</v>
      </c>
      <c r="E78" s="111">
        <f>E76*C78/B57</f>
        <v>12.92307692307692</v>
      </c>
      <c r="F78" s="111">
        <f>F76*C78/B57</f>
        <v>14.76923076923077</v>
      </c>
      <c r="G78" s="111">
        <f>G76*C78/B57</f>
        <v>16.615384615384617</v>
      </c>
      <c r="H78" s="112">
        <f>H76*C78/B57</f>
        <v>20.30769230769231</v>
      </c>
      <c r="I78" s="113">
        <f>HLOOKUP(B59,W9:AD24,3,FALSE)</f>
        <v>28</v>
      </c>
      <c r="J78" s="114">
        <f>J76*I78/B61</f>
        <v>13.440000000000001</v>
      </c>
      <c r="K78" s="114">
        <f>K76*I78/B61</f>
        <v>15.679999999999998</v>
      </c>
      <c r="L78" s="114">
        <f>L76*I78/B61</f>
        <v>17.92</v>
      </c>
      <c r="M78" s="114">
        <f>M76*I78/B61</f>
        <v>20.16</v>
      </c>
      <c r="N78" s="115">
        <f>N76*I78/B61</f>
        <v>24.640000000000004</v>
      </c>
    </row>
    <row r="79" spans="1:14" ht="15" customHeight="1">
      <c r="A79" s="116" t="s">
        <v>39</v>
      </c>
      <c r="B79" s="109" t="s">
        <v>115</v>
      </c>
      <c r="C79" s="117">
        <f>HLOOKUP(B55,C9:V24,4)</f>
        <v>14</v>
      </c>
      <c r="D79" s="46">
        <f>D76*C79/B57</f>
        <v>6.461538461538462</v>
      </c>
      <c r="E79" s="46">
        <f>E76*C79/B57</f>
        <v>7.538461538461537</v>
      </c>
      <c r="F79" s="46">
        <f>F76*C79/B57</f>
        <v>8.615384615384617</v>
      </c>
      <c r="G79" s="46">
        <f>G76*C79/B57</f>
        <v>9.692307692307692</v>
      </c>
      <c r="H79" s="73">
        <f>H76*C79/B57</f>
        <v>11.846153846153847</v>
      </c>
      <c r="I79" s="118">
        <f>HLOOKUP(B59,W9:AD24,4,FALSE)</f>
        <v>16.5</v>
      </c>
      <c r="J79" s="17">
        <f>J76*I79/B61</f>
        <v>7.92</v>
      </c>
      <c r="K79" s="17">
        <f>K76*I79/B61</f>
        <v>9.239999999999998</v>
      </c>
      <c r="L79" s="17">
        <f>L76*I79/B61</f>
        <v>10.56</v>
      </c>
      <c r="M79" s="17">
        <f>M76*I79/B61</f>
        <v>11.879999999999999</v>
      </c>
      <c r="N79" s="50">
        <f>N76*I79/B61</f>
        <v>14.520000000000001</v>
      </c>
    </row>
    <row r="80" spans="1:14" ht="15" customHeight="1">
      <c r="A80" s="116" t="s">
        <v>41</v>
      </c>
      <c r="B80" s="109" t="s">
        <v>116</v>
      </c>
      <c r="C80" s="117">
        <f>HLOOKUP(B55,C9:V24,5)</f>
        <v>0.4</v>
      </c>
      <c r="D80" s="46">
        <f>D76*C80/B57</f>
        <v>0.1846153846153846</v>
      </c>
      <c r="E80" s="46">
        <f>E76*C80/B57</f>
        <v>0.21538461538461537</v>
      </c>
      <c r="F80" s="46">
        <f>F76*C80/B57</f>
        <v>0.2461538461538462</v>
      </c>
      <c r="G80" s="46">
        <f>G76*C80/B57</f>
        <v>0.27692307692307694</v>
      </c>
      <c r="H80" s="73">
        <f>H76*C80/B57</f>
        <v>0.3384615384615385</v>
      </c>
      <c r="I80" s="118">
        <f>HLOOKUP(B59,W9:AD24,5,FALSE)</f>
        <v>0.4</v>
      </c>
      <c r="J80" s="17">
        <f>J76*I80/B61</f>
        <v>0.192</v>
      </c>
      <c r="K80" s="17">
        <f>K76*I80/B61</f>
        <v>0.22399999999999998</v>
      </c>
      <c r="L80" s="17">
        <f>L76*I80/B61</f>
        <v>0.25600000000000006</v>
      </c>
      <c r="M80" s="17">
        <f>M76*I80/B61</f>
        <v>0.28800000000000003</v>
      </c>
      <c r="N80" s="50">
        <f>N76*I80/B61</f>
        <v>0.35200000000000004</v>
      </c>
    </row>
    <row r="81" spans="1:14" ht="15" customHeight="1">
      <c r="A81" s="116" t="s">
        <v>43</v>
      </c>
      <c r="B81" s="109" t="s">
        <v>117</v>
      </c>
      <c r="C81" s="117">
        <f>HLOOKUP(B55,C9:V24,6)</f>
        <v>22</v>
      </c>
      <c r="D81" s="46">
        <f>D76*C81/B57</f>
        <v>10.153846153846153</v>
      </c>
      <c r="E81" s="46">
        <f>E76*C81/B57</f>
        <v>11.846153846153845</v>
      </c>
      <c r="F81" s="46">
        <f>F76*C81/B57</f>
        <v>13.538461538461538</v>
      </c>
      <c r="G81" s="46">
        <f>G76*C81/B57</f>
        <v>15.23076923076923</v>
      </c>
      <c r="H81" s="73">
        <f>H76*C81/B57</f>
        <v>18.615384615384617</v>
      </c>
      <c r="I81" s="118">
        <f>HLOOKUP(B59,W9:AD24,6,FALSE)</f>
        <v>24</v>
      </c>
      <c r="J81" s="17">
        <f>J76*I81/B61</f>
        <v>11.52</v>
      </c>
      <c r="K81" s="17">
        <f>K76*I81/B61</f>
        <v>13.439999999999998</v>
      </c>
      <c r="L81" s="17">
        <f>L76*I81/B61</f>
        <v>15.360000000000003</v>
      </c>
      <c r="M81" s="17">
        <f>M76*I81/B61</f>
        <v>17.28</v>
      </c>
      <c r="N81" s="50">
        <f>N76*I81/B61</f>
        <v>21.12</v>
      </c>
    </row>
    <row r="82" spans="1:14" ht="15" customHeight="1">
      <c r="A82" s="96" t="s">
        <v>45</v>
      </c>
      <c r="B82" s="109" t="s">
        <v>118</v>
      </c>
      <c r="C82" s="117">
        <f>HLOOKUP(B55,C9:V24,7)</f>
        <v>2.5</v>
      </c>
      <c r="D82" s="46">
        <f>D76*C82/B57</f>
        <v>1.1538461538461537</v>
      </c>
      <c r="E82" s="46">
        <f>E76*C82/B57</f>
        <v>1.346153846153846</v>
      </c>
      <c r="F82" s="46">
        <f>F76*C82/B57</f>
        <v>1.5384615384615383</v>
      </c>
      <c r="G82" s="46">
        <f>G76*C82/B57</f>
        <v>1.7307692307692306</v>
      </c>
      <c r="H82" s="73">
        <f>H76*C82/B57</f>
        <v>2.1153846153846154</v>
      </c>
      <c r="I82" s="118">
        <f>HLOOKUP(B59,W9:AD24,7,FALSE)</f>
        <v>2.7</v>
      </c>
      <c r="J82" s="17">
        <f>J76*I82/B61</f>
        <v>1.296</v>
      </c>
      <c r="K82" s="17">
        <f>K76*I82/B61</f>
        <v>1.512</v>
      </c>
      <c r="L82" s="17">
        <f>L76*I82/B61</f>
        <v>1.7280000000000002</v>
      </c>
      <c r="M82" s="17">
        <f>M76*I82/B61</f>
        <v>1.9440000000000002</v>
      </c>
      <c r="N82" s="50">
        <f>N76*I82/B61</f>
        <v>2.3760000000000003</v>
      </c>
    </row>
    <row r="83" spans="1:14" ht="15" customHeight="1">
      <c r="A83" s="119" t="s">
        <v>47</v>
      </c>
      <c r="B83" s="120" t="s">
        <v>119</v>
      </c>
      <c r="C83" s="74">
        <f>HLOOKUP(B55,C9:V24,8)</f>
        <v>4</v>
      </c>
      <c r="D83" s="51">
        <f>D76*C83/B57</f>
        <v>1.846153846153846</v>
      </c>
      <c r="E83" s="51">
        <f>E76*C83/B57</f>
        <v>2.1538461538461537</v>
      </c>
      <c r="F83" s="51">
        <f>F76*C83/B57</f>
        <v>2.4615384615384617</v>
      </c>
      <c r="G83" s="51">
        <f>G76*C83/B57</f>
        <v>2.769230769230769</v>
      </c>
      <c r="H83" s="75">
        <f>H76*C83/B57</f>
        <v>3.3846153846153846</v>
      </c>
      <c r="I83" s="121">
        <f>HLOOKUP(B59,W9:AD24,8,FALSE)</f>
        <v>2.7</v>
      </c>
      <c r="J83" s="28">
        <f>J76*I83/B61</f>
        <v>1.296</v>
      </c>
      <c r="K83" s="28">
        <f>K76*I83/B61</f>
        <v>1.512</v>
      </c>
      <c r="L83" s="28">
        <f>L76*I83/B61</f>
        <v>1.7280000000000002</v>
      </c>
      <c r="M83" s="28">
        <f>M76*I83/B61</f>
        <v>1.9440000000000002</v>
      </c>
      <c r="N83" s="52">
        <f>N76*I83/B61</f>
        <v>2.3760000000000003</v>
      </c>
    </row>
    <row r="87" spans="1:21" ht="15" customHeight="1">
      <c r="A87" s="37"/>
      <c r="B87" s="323" t="s">
        <v>120</v>
      </c>
      <c r="C87" s="324"/>
      <c r="D87" s="324"/>
      <c r="E87" s="324"/>
      <c r="F87" s="324"/>
      <c r="G87" s="324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  <c r="T87" s="324"/>
      <c r="U87" s="325"/>
    </row>
    <row r="88" spans="1:21" ht="15" customHeight="1">
      <c r="A88" s="37"/>
      <c r="B88" s="320" t="s">
        <v>121</v>
      </c>
      <c r="C88" s="321"/>
      <c r="D88" s="321"/>
      <c r="E88" s="322"/>
      <c r="F88" s="320" t="s">
        <v>68</v>
      </c>
      <c r="G88" s="321"/>
      <c r="H88" s="321"/>
      <c r="I88" s="321"/>
      <c r="J88" s="322"/>
      <c r="K88" s="320" t="s">
        <v>69</v>
      </c>
      <c r="L88" s="321"/>
      <c r="M88" s="321"/>
      <c r="N88" s="321"/>
      <c r="O88" s="321"/>
      <c r="P88" s="321"/>
      <c r="Q88" s="321"/>
      <c r="R88" s="322"/>
      <c r="S88" s="318" t="s">
        <v>122</v>
      </c>
      <c r="T88" s="319"/>
      <c r="U88" s="330"/>
    </row>
    <row r="89" spans="1:21" ht="15" customHeight="1">
      <c r="A89" s="37"/>
      <c r="B89" s="320" t="s">
        <v>123</v>
      </c>
      <c r="C89" s="321"/>
      <c r="D89" s="321"/>
      <c r="E89" s="322"/>
      <c r="F89" s="320" t="s">
        <v>124</v>
      </c>
      <c r="G89" s="321"/>
      <c r="H89" s="322"/>
      <c r="I89" s="309" t="s">
        <v>125</v>
      </c>
      <c r="J89" s="310"/>
      <c r="K89" s="320" t="s">
        <v>126</v>
      </c>
      <c r="L89" s="322"/>
      <c r="M89" s="320" t="s">
        <v>127</v>
      </c>
      <c r="N89" s="321"/>
      <c r="O89" s="322"/>
      <c r="P89" s="321" t="s">
        <v>128</v>
      </c>
      <c r="Q89" s="321"/>
      <c r="R89" s="322"/>
      <c r="S89" s="319" t="s">
        <v>129</v>
      </c>
      <c r="T89" s="319"/>
      <c r="U89" s="330"/>
    </row>
    <row r="90" spans="1:21" ht="15" customHeight="1">
      <c r="A90" s="122" t="s">
        <v>130</v>
      </c>
      <c r="B90" s="380">
        <v>0</v>
      </c>
      <c r="C90" s="381"/>
      <c r="D90" s="381"/>
      <c r="E90" s="382"/>
      <c r="F90" s="380">
        <v>0</v>
      </c>
      <c r="G90" s="381"/>
      <c r="H90" s="382"/>
      <c r="I90" s="380">
        <v>0</v>
      </c>
      <c r="J90" s="382"/>
      <c r="K90" s="380">
        <v>0</v>
      </c>
      <c r="L90" s="382"/>
      <c r="M90" s="380">
        <v>0</v>
      </c>
      <c r="N90" s="381"/>
      <c r="O90" s="382"/>
      <c r="P90" s="380">
        <v>0</v>
      </c>
      <c r="Q90" s="381"/>
      <c r="R90" s="382"/>
      <c r="S90" s="321"/>
      <c r="T90" s="321"/>
      <c r="U90" s="322"/>
    </row>
    <row r="91" spans="1:21" ht="15" customHeight="1">
      <c r="A91" s="122" t="s">
        <v>131</v>
      </c>
      <c r="B91" s="380">
        <v>2000</v>
      </c>
      <c r="C91" s="381"/>
      <c r="D91" s="381"/>
      <c r="E91" s="382"/>
      <c r="F91" s="380">
        <v>100</v>
      </c>
      <c r="G91" s="381"/>
      <c r="H91" s="382"/>
      <c r="I91" s="380">
        <v>0</v>
      </c>
      <c r="J91" s="382"/>
      <c r="K91" s="380">
        <v>700</v>
      </c>
      <c r="L91" s="382"/>
      <c r="M91" s="380">
        <v>0</v>
      </c>
      <c r="N91" s="381"/>
      <c r="O91" s="382"/>
      <c r="P91" s="380">
        <v>0</v>
      </c>
      <c r="Q91" s="381"/>
      <c r="R91" s="382"/>
      <c r="S91" s="320"/>
      <c r="T91" s="321"/>
      <c r="U91" s="322"/>
    </row>
    <row r="92" spans="1:21" ht="15" customHeight="1">
      <c r="A92" s="122" t="s">
        <v>132</v>
      </c>
      <c r="B92" s="383">
        <v>2000</v>
      </c>
      <c r="C92" s="384"/>
      <c r="D92" s="384"/>
      <c r="E92" s="385"/>
      <c r="F92" s="380">
        <v>500</v>
      </c>
      <c r="G92" s="381"/>
      <c r="H92" s="382"/>
      <c r="I92" s="383">
        <v>200</v>
      </c>
      <c r="J92" s="385"/>
      <c r="K92" s="383">
        <v>0</v>
      </c>
      <c r="L92" s="385"/>
      <c r="M92" s="383">
        <v>400</v>
      </c>
      <c r="N92" s="384"/>
      <c r="O92" s="385"/>
      <c r="P92" s="383">
        <v>0</v>
      </c>
      <c r="Q92" s="384"/>
      <c r="R92" s="385"/>
      <c r="S92" s="309"/>
      <c r="T92" s="309"/>
      <c r="U92" s="310"/>
    </row>
    <row r="93" spans="1:21" ht="15" customHeight="1">
      <c r="A93" s="123" t="s">
        <v>133</v>
      </c>
      <c r="B93" s="380">
        <v>12000</v>
      </c>
      <c r="C93" s="381"/>
      <c r="D93" s="381"/>
      <c r="E93" s="382"/>
      <c r="F93" s="380">
        <v>750</v>
      </c>
      <c r="G93" s="381"/>
      <c r="H93" s="382"/>
      <c r="I93" s="383">
        <v>320</v>
      </c>
      <c r="J93" s="385"/>
      <c r="K93" s="383">
        <v>0</v>
      </c>
      <c r="L93" s="385"/>
      <c r="M93" s="383">
        <v>0</v>
      </c>
      <c r="N93" s="384"/>
      <c r="O93" s="385"/>
      <c r="P93" s="383">
        <v>0</v>
      </c>
      <c r="Q93" s="384"/>
      <c r="R93" s="385"/>
      <c r="S93" s="309"/>
      <c r="T93" s="309"/>
      <c r="U93" s="310"/>
    </row>
    <row r="94" spans="1:21" ht="15" customHeight="1">
      <c r="A94" s="122" t="s">
        <v>134</v>
      </c>
      <c r="B94" s="380">
        <v>1000</v>
      </c>
      <c r="C94" s="381"/>
      <c r="D94" s="381"/>
      <c r="E94" s="382"/>
      <c r="F94" s="380">
        <v>1200</v>
      </c>
      <c r="G94" s="381"/>
      <c r="H94" s="382"/>
      <c r="I94" s="383">
        <v>700</v>
      </c>
      <c r="J94" s="385"/>
      <c r="K94" s="383">
        <v>0</v>
      </c>
      <c r="L94" s="385"/>
      <c r="M94" s="383">
        <v>120</v>
      </c>
      <c r="N94" s="384"/>
      <c r="O94" s="385"/>
      <c r="P94" s="383">
        <v>0</v>
      </c>
      <c r="Q94" s="384"/>
      <c r="R94" s="385"/>
      <c r="S94" s="309"/>
      <c r="T94" s="309"/>
      <c r="U94" s="310"/>
    </row>
    <row r="98" spans="1:31" ht="15" customHeight="1">
      <c r="A98" s="124"/>
      <c r="B98" s="323" t="s">
        <v>135</v>
      </c>
      <c r="C98" s="324"/>
      <c r="D98" s="324"/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24"/>
      <c r="AE98" s="325"/>
    </row>
    <row r="99" spans="1:31" ht="15" customHeight="1">
      <c r="A99" s="37"/>
      <c r="B99" s="326" t="s">
        <v>136</v>
      </c>
      <c r="C99" s="327"/>
      <c r="D99" s="327"/>
      <c r="E99" s="328"/>
      <c r="F99" s="326" t="s">
        <v>137</v>
      </c>
      <c r="G99" s="327"/>
      <c r="H99" s="327"/>
      <c r="I99" s="327"/>
      <c r="J99" s="327"/>
      <c r="K99" s="327"/>
      <c r="L99" s="327"/>
      <c r="M99" s="327"/>
      <c r="N99" s="327"/>
      <c r="O99" s="327"/>
      <c r="P99" s="327"/>
      <c r="Q99" s="327"/>
      <c r="R99" s="328"/>
      <c r="S99" s="326" t="s">
        <v>138</v>
      </c>
      <c r="T99" s="327"/>
      <c r="U99" s="328"/>
      <c r="V99" s="252" t="s">
        <v>139</v>
      </c>
      <c r="W99" s="253"/>
      <c r="X99" s="253"/>
      <c r="Y99" s="253"/>
      <c r="Z99" s="253"/>
      <c r="AA99" s="253"/>
      <c r="AB99" s="253"/>
      <c r="AC99" s="253"/>
      <c r="AD99" s="253"/>
      <c r="AE99" s="329"/>
    </row>
    <row r="100" spans="1:31" ht="15" customHeight="1">
      <c r="A100" s="37"/>
      <c r="B100" s="320" t="s">
        <v>140</v>
      </c>
      <c r="C100" s="321"/>
      <c r="D100" s="321"/>
      <c r="E100" s="322"/>
      <c r="F100" s="320" t="s">
        <v>141</v>
      </c>
      <c r="G100" s="321"/>
      <c r="H100" s="321"/>
      <c r="I100" s="321"/>
      <c r="J100" s="322"/>
      <c r="K100" s="320" t="s">
        <v>69</v>
      </c>
      <c r="L100" s="321"/>
      <c r="M100" s="321"/>
      <c r="N100" s="321"/>
      <c r="O100" s="321"/>
      <c r="P100" s="321"/>
      <c r="Q100" s="321"/>
      <c r="R100" s="322"/>
      <c r="S100" s="318" t="s">
        <v>122</v>
      </c>
      <c r="T100" s="319"/>
      <c r="U100" s="330"/>
      <c r="V100" s="254"/>
      <c r="W100" s="255"/>
      <c r="X100" s="255"/>
      <c r="Y100" s="255"/>
      <c r="Z100" s="255"/>
      <c r="AA100" s="255"/>
      <c r="AB100" s="255"/>
      <c r="AC100" s="255"/>
      <c r="AD100" s="255"/>
      <c r="AE100" s="256"/>
    </row>
    <row r="101" spans="1:31" ht="15" customHeight="1">
      <c r="A101" s="125" t="s">
        <v>142</v>
      </c>
      <c r="B101" s="320" t="s">
        <v>123</v>
      </c>
      <c r="C101" s="321"/>
      <c r="D101" s="321"/>
      <c r="E101" s="322"/>
      <c r="F101" s="320" t="s">
        <v>124</v>
      </c>
      <c r="G101" s="321"/>
      <c r="H101" s="322"/>
      <c r="I101" s="320" t="s">
        <v>125</v>
      </c>
      <c r="J101" s="322"/>
      <c r="K101" s="320" t="s">
        <v>126</v>
      </c>
      <c r="L101" s="322"/>
      <c r="M101" s="320" t="s">
        <v>127</v>
      </c>
      <c r="N101" s="321"/>
      <c r="O101" s="322"/>
      <c r="P101" s="320" t="s">
        <v>128</v>
      </c>
      <c r="Q101" s="321"/>
      <c r="R101" s="322"/>
      <c r="S101" s="318" t="s">
        <v>129</v>
      </c>
      <c r="T101" s="319"/>
      <c r="U101" s="319"/>
      <c r="V101" s="250" t="s">
        <v>143</v>
      </c>
      <c r="W101" s="251"/>
      <c r="X101" s="250" t="s">
        <v>144</v>
      </c>
      <c r="Y101" s="251"/>
      <c r="Z101" s="250" t="s">
        <v>145</v>
      </c>
      <c r="AA101" s="251"/>
      <c r="AB101" s="250" t="s">
        <v>146</v>
      </c>
      <c r="AC101" s="251"/>
      <c r="AD101" s="250" t="s">
        <v>147</v>
      </c>
      <c r="AE101" s="251"/>
    </row>
    <row r="102" spans="1:31" ht="15" customHeight="1">
      <c r="A102" s="126">
        <v>1</v>
      </c>
      <c r="B102" s="315">
        <v>1.35</v>
      </c>
      <c r="C102" s="316"/>
      <c r="D102" s="316"/>
      <c r="E102" s="317"/>
      <c r="F102" s="315"/>
      <c r="G102" s="316"/>
      <c r="H102" s="317"/>
      <c r="I102" s="315"/>
      <c r="J102" s="317"/>
      <c r="K102" s="315"/>
      <c r="L102" s="317"/>
      <c r="M102" s="315"/>
      <c r="N102" s="316"/>
      <c r="O102" s="317"/>
      <c r="P102" s="315"/>
      <c r="Q102" s="316"/>
      <c r="R102" s="317"/>
      <c r="S102" s="236"/>
      <c r="T102" s="314"/>
      <c r="U102" s="237"/>
      <c r="V102" s="234">
        <f>1.35*B90</f>
        <v>0</v>
      </c>
      <c r="W102" s="235"/>
      <c r="X102" s="234">
        <f>(1.35*B91)</f>
        <v>2700</v>
      </c>
      <c r="Y102" s="235"/>
      <c r="Z102" s="236">
        <f>(1.35*B92)</f>
        <v>2700</v>
      </c>
      <c r="AA102" s="237"/>
      <c r="AB102" s="234">
        <f>(1.35*B93)</f>
        <v>16200.000000000002</v>
      </c>
      <c r="AC102" s="235"/>
      <c r="AD102" s="234">
        <f>(1.35*B94)</f>
        <v>1350</v>
      </c>
      <c r="AE102" s="235"/>
    </row>
    <row r="103" spans="1:31" ht="15" customHeight="1">
      <c r="A103" s="127">
        <v>2</v>
      </c>
      <c r="B103" s="311">
        <v>1.35</v>
      </c>
      <c r="C103" s="312"/>
      <c r="D103" s="312"/>
      <c r="E103" s="313"/>
      <c r="F103" s="311">
        <v>1.5</v>
      </c>
      <c r="G103" s="312"/>
      <c r="H103" s="313"/>
      <c r="I103" s="311"/>
      <c r="J103" s="313"/>
      <c r="K103" s="311"/>
      <c r="L103" s="313"/>
      <c r="M103" s="311"/>
      <c r="N103" s="312"/>
      <c r="O103" s="313"/>
      <c r="P103" s="311"/>
      <c r="Q103" s="312"/>
      <c r="R103" s="313"/>
      <c r="S103" s="225"/>
      <c r="T103" s="304"/>
      <c r="U103" s="226"/>
      <c r="V103" s="223">
        <f>(1.35*B90)+(1.5*F90)</f>
        <v>0</v>
      </c>
      <c r="W103" s="224"/>
      <c r="X103" s="223">
        <f>(1.35*B91)+(1.5*F91)</f>
        <v>2850</v>
      </c>
      <c r="Y103" s="224"/>
      <c r="Z103" s="225">
        <f>(1.35*B92)+(1.5*F92)</f>
        <v>3450</v>
      </c>
      <c r="AA103" s="226"/>
      <c r="AB103" s="223">
        <f>(1.35*B93)+(1.5*F93)</f>
        <v>17325</v>
      </c>
      <c r="AC103" s="224"/>
      <c r="AD103" s="223">
        <f>(1.35*B94)+(1.5*F94)</f>
        <v>3150</v>
      </c>
      <c r="AE103" s="224"/>
    </row>
    <row r="104" spans="1:31" ht="15" customHeight="1">
      <c r="A104" s="127">
        <v>3</v>
      </c>
      <c r="B104" s="311">
        <v>1.35</v>
      </c>
      <c r="C104" s="312"/>
      <c r="D104" s="312"/>
      <c r="E104" s="313"/>
      <c r="F104" s="311"/>
      <c r="G104" s="312"/>
      <c r="H104" s="313"/>
      <c r="I104" s="311">
        <v>1.5</v>
      </c>
      <c r="J104" s="313"/>
      <c r="K104" s="311"/>
      <c r="L104" s="313"/>
      <c r="M104" s="311"/>
      <c r="N104" s="312"/>
      <c r="O104" s="313"/>
      <c r="P104" s="311"/>
      <c r="Q104" s="312"/>
      <c r="R104" s="313"/>
      <c r="S104" s="225"/>
      <c r="T104" s="304"/>
      <c r="U104" s="226"/>
      <c r="V104" s="223">
        <f>(1.35*B90)+(1.5*I90)</f>
        <v>0</v>
      </c>
      <c r="W104" s="224"/>
      <c r="X104" s="223">
        <f>(1.35*B91)+(1.5*I91)</f>
        <v>2700</v>
      </c>
      <c r="Y104" s="224"/>
      <c r="Z104" s="225">
        <f>(1.35*B92)+(1.5*I92)</f>
        <v>3000</v>
      </c>
      <c r="AA104" s="226"/>
      <c r="AB104" s="223">
        <f>(1.35*B93)+(1.5*I93)</f>
        <v>16680</v>
      </c>
      <c r="AC104" s="224"/>
      <c r="AD104" s="223">
        <f>(1.35*B94)+(1.5*I94)</f>
        <v>2400</v>
      </c>
      <c r="AE104" s="224"/>
    </row>
    <row r="105" spans="1:31" ht="15" customHeight="1">
      <c r="A105" s="127">
        <v>4</v>
      </c>
      <c r="B105" s="311">
        <v>1.35</v>
      </c>
      <c r="C105" s="312"/>
      <c r="D105" s="312"/>
      <c r="E105" s="313"/>
      <c r="F105" s="311"/>
      <c r="G105" s="312"/>
      <c r="H105" s="313"/>
      <c r="I105" s="311"/>
      <c r="J105" s="313"/>
      <c r="K105" s="311">
        <v>1.5</v>
      </c>
      <c r="L105" s="313"/>
      <c r="M105" s="311"/>
      <c r="N105" s="312"/>
      <c r="O105" s="313"/>
      <c r="P105" s="311"/>
      <c r="Q105" s="312"/>
      <c r="R105" s="313"/>
      <c r="S105" s="225"/>
      <c r="T105" s="304"/>
      <c r="U105" s="226"/>
      <c r="V105" s="223">
        <f>(1.35*B90)+(1.5*K90)</f>
        <v>0</v>
      </c>
      <c r="W105" s="224"/>
      <c r="X105" s="223">
        <f>(1.35*B91)+(1.5*K91)</f>
        <v>3750</v>
      </c>
      <c r="Y105" s="224"/>
      <c r="Z105" s="225">
        <f>(1.35*B92)+(1.5*K92)</f>
        <v>2700</v>
      </c>
      <c r="AA105" s="226"/>
      <c r="AB105" s="223">
        <f>(1.35*B93)+(1.5*K93)</f>
        <v>16200.000000000002</v>
      </c>
      <c r="AC105" s="224"/>
      <c r="AD105" s="223">
        <f>(1.35*B94)+(1.5*K94)</f>
        <v>1350</v>
      </c>
      <c r="AE105" s="224"/>
    </row>
    <row r="106" spans="1:31" ht="15" customHeight="1">
      <c r="A106" s="127">
        <v>5</v>
      </c>
      <c r="B106" s="311">
        <v>1.35</v>
      </c>
      <c r="C106" s="312"/>
      <c r="D106" s="312"/>
      <c r="E106" s="313"/>
      <c r="F106" s="311"/>
      <c r="G106" s="312"/>
      <c r="H106" s="313"/>
      <c r="I106" s="311"/>
      <c r="J106" s="313"/>
      <c r="K106" s="311"/>
      <c r="L106" s="313"/>
      <c r="M106" s="311">
        <v>1.5</v>
      </c>
      <c r="N106" s="312"/>
      <c r="O106" s="313"/>
      <c r="P106" s="311"/>
      <c r="Q106" s="312"/>
      <c r="R106" s="313"/>
      <c r="S106" s="225"/>
      <c r="T106" s="304"/>
      <c r="U106" s="226"/>
      <c r="V106" s="223">
        <f>(1.35*B90)+(1.5*M90)</f>
        <v>0</v>
      </c>
      <c r="W106" s="224"/>
      <c r="X106" s="223">
        <f>(1.35*B91)+(1.5*M91)</f>
        <v>2700</v>
      </c>
      <c r="Y106" s="224"/>
      <c r="Z106" s="225">
        <f>(1.35*B92)+(1.5*M92)</f>
        <v>3300</v>
      </c>
      <c r="AA106" s="226"/>
      <c r="AB106" s="223">
        <f>(1.35*B93)+(1.5*M93)</f>
        <v>16200.000000000002</v>
      </c>
      <c r="AC106" s="224"/>
      <c r="AD106" s="223">
        <f>(1.35*B94)+(1.5*M94)</f>
        <v>1530</v>
      </c>
      <c r="AE106" s="224"/>
    </row>
    <row r="107" spans="1:31" ht="15" customHeight="1">
      <c r="A107" s="127">
        <v>6</v>
      </c>
      <c r="B107" s="311">
        <v>0.8</v>
      </c>
      <c r="C107" s="312"/>
      <c r="D107" s="312"/>
      <c r="E107" s="313"/>
      <c r="F107" s="311"/>
      <c r="G107" s="312"/>
      <c r="H107" s="313"/>
      <c r="I107" s="311"/>
      <c r="J107" s="313"/>
      <c r="K107" s="311"/>
      <c r="L107" s="313"/>
      <c r="M107" s="311"/>
      <c r="N107" s="312"/>
      <c r="O107" s="313"/>
      <c r="P107" s="311">
        <v>1.5</v>
      </c>
      <c r="Q107" s="312"/>
      <c r="R107" s="313"/>
      <c r="S107" s="225"/>
      <c r="T107" s="304"/>
      <c r="U107" s="226"/>
      <c r="V107" s="223">
        <f>(0.8*B90)+(1.5*P90)</f>
        <v>0</v>
      </c>
      <c r="W107" s="224"/>
      <c r="X107" s="223">
        <f>(0.8*B91)+(1.5*P91)</f>
        <v>1600</v>
      </c>
      <c r="Y107" s="224"/>
      <c r="Z107" s="225">
        <f>(0.8*B92)+(1.5*P92)</f>
        <v>1600</v>
      </c>
      <c r="AA107" s="226"/>
      <c r="AB107" s="223">
        <f>(0.8*B93)+(1.5*P93)</f>
        <v>9600</v>
      </c>
      <c r="AC107" s="224"/>
      <c r="AD107" s="223">
        <f>(0.8*B94)+(1.5*P94)</f>
        <v>800</v>
      </c>
      <c r="AE107" s="224"/>
    </row>
    <row r="108" spans="1:31" ht="15" customHeight="1">
      <c r="A108" s="127">
        <v>7</v>
      </c>
      <c r="B108" s="311">
        <v>1.35</v>
      </c>
      <c r="C108" s="312"/>
      <c r="D108" s="312"/>
      <c r="E108" s="313"/>
      <c r="F108" s="311">
        <v>1.5</v>
      </c>
      <c r="G108" s="312"/>
      <c r="H108" s="313"/>
      <c r="I108" s="311" t="s">
        <v>148</v>
      </c>
      <c r="J108" s="313"/>
      <c r="K108" s="311"/>
      <c r="L108" s="313"/>
      <c r="M108" s="311"/>
      <c r="N108" s="312"/>
      <c r="O108" s="313"/>
      <c r="P108" s="311"/>
      <c r="Q108" s="312"/>
      <c r="R108" s="313"/>
      <c r="S108" s="225"/>
      <c r="T108" s="304"/>
      <c r="U108" s="226"/>
      <c r="V108" s="223">
        <f>(1.35*B90)+(1.5*F90)+(1.5*0.7*I90)</f>
        <v>0</v>
      </c>
      <c r="W108" s="224"/>
      <c r="X108" s="223">
        <f>(1.35*B91)+(1.5*F91)+(1.5*0.7*I91)</f>
        <v>2850</v>
      </c>
      <c r="Y108" s="224"/>
      <c r="Z108" s="225">
        <f>(1.35*B92)+(1.5*F92)+(1.5*0.7*I92)</f>
        <v>3660</v>
      </c>
      <c r="AA108" s="226"/>
      <c r="AB108" s="223">
        <f>(1.35*B93)+(1.5*F93)+(1.5*0.7*I93)</f>
        <v>17661</v>
      </c>
      <c r="AC108" s="224"/>
      <c r="AD108" s="223">
        <f>(1.35*B94)+(1.5*F94)+(1.5*0.7*I94)</f>
        <v>3885</v>
      </c>
      <c r="AE108" s="224"/>
    </row>
    <row r="109" spans="1:31" ht="15" customHeight="1">
      <c r="A109" s="127">
        <v>8</v>
      </c>
      <c r="B109" s="311">
        <v>1.35</v>
      </c>
      <c r="C109" s="312"/>
      <c r="D109" s="312"/>
      <c r="E109" s="313"/>
      <c r="F109" s="311">
        <v>1.5</v>
      </c>
      <c r="G109" s="312"/>
      <c r="H109" s="313"/>
      <c r="I109" s="311"/>
      <c r="J109" s="313"/>
      <c r="K109" s="311" t="s">
        <v>149</v>
      </c>
      <c r="L109" s="313"/>
      <c r="M109" s="311"/>
      <c r="N109" s="312"/>
      <c r="O109" s="313"/>
      <c r="P109" s="311"/>
      <c r="Q109" s="312"/>
      <c r="R109" s="313"/>
      <c r="S109" s="225"/>
      <c r="T109" s="304"/>
      <c r="U109" s="226"/>
      <c r="V109" s="223">
        <f>(1.35*B90)+(1.5*F90)+(1.5*0.5*K90)</f>
        <v>0</v>
      </c>
      <c r="W109" s="224"/>
      <c r="X109" s="223">
        <f>(1.35*B91)+(1.5*F91)+(1.5*0.5*K91)</f>
        <v>3375</v>
      </c>
      <c r="Y109" s="224"/>
      <c r="Z109" s="225">
        <f>(1.35*B92)+(1.5*F92)+(1.5*0.5*K92)</f>
        <v>3450</v>
      </c>
      <c r="AA109" s="226"/>
      <c r="AB109" s="223">
        <f>(1.35*B93)+(1.5*F93)+(1.5*0.5*K93)</f>
        <v>17325</v>
      </c>
      <c r="AC109" s="224"/>
      <c r="AD109" s="223">
        <f>(1.35*B94)+(1.5*F94)+(1.5*0.5*K94)</f>
        <v>3150</v>
      </c>
      <c r="AE109" s="224"/>
    </row>
    <row r="110" spans="1:31" ht="15" customHeight="1">
      <c r="A110" s="127">
        <v>9</v>
      </c>
      <c r="B110" s="311">
        <v>1.35</v>
      </c>
      <c r="C110" s="312"/>
      <c r="D110" s="312"/>
      <c r="E110" s="313"/>
      <c r="F110" s="311">
        <v>1.5</v>
      </c>
      <c r="G110" s="312"/>
      <c r="H110" s="313"/>
      <c r="I110" s="311"/>
      <c r="J110" s="313"/>
      <c r="K110" s="311"/>
      <c r="L110" s="313"/>
      <c r="M110" s="311" t="s">
        <v>150</v>
      </c>
      <c r="N110" s="312"/>
      <c r="O110" s="313"/>
      <c r="P110" s="311"/>
      <c r="Q110" s="312"/>
      <c r="R110" s="313"/>
      <c r="S110" s="225"/>
      <c r="T110" s="304"/>
      <c r="U110" s="226"/>
      <c r="V110" s="223">
        <f>(1.35*B90)+(1.5*F90)+(1.5*0.6*M90)</f>
        <v>0</v>
      </c>
      <c r="W110" s="224"/>
      <c r="X110" s="223">
        <f>(1.35*B91)+(1.5*F91)+(1.5*0.6*M91)</f>
        <v>2850</v>
      </c>
      <c r="Y110" s="224"/>
      <c r="Z110" s="225">
        <f>(1.35*B92)+(1.5*F92)+(1.5*0.6*M92)</f>
        <v>3810</v>
      </c>
      <c r="AA110" s="226"/>
      <c r="AB110" s="223">
        <f>(1.35*B93)+(1.5*F93)+(1.5*0.6*M93)</f>
        <v>17325</v>
      </c>
      <c r="AC110" s="224"/>
      <c r="AD110" s="223">
        <f>(1.35*B94)+(1.5*F94)+(1.5*0.6*M94)</f>
        <v>3258</v>
      </c>
      <c r="AE110" s="224"/>
    </row>
    <row r="111" spans="1:31" ht="15" customHeight="1">
      <c r="A111" s="127">
        <v>10</v>
      </c>
      <c r="B111" s="311">
        <v>1.35</v>
      </c>
      <c r="C111" s="312"/>
      <c r="D111" s="312"/>
      <c r="E111" s="313"/>
      <c r="F111" s="311">
        <v>1.5</v>
      </c>
      <c r="G111" s="312"/>
      <c r="H111" s="313"/>
      <c r="I111" s="311" t="s">
        <v>148</v>
      </c>
      <c r="J111" s="313"/>
      <c r="K111" s="311"/>
      <c r="L111" s="313"/>
      <c r="M111" s="311" t="s">
        <v>150</v>
      </c>
      <c r="N111" s="312"/>
      <c r="O111" s="313"/>
      <c r="P111" s="311"/>
      <c r="Q111" s="312"/>
      <c r="R111" s="313"/>
      <c r="S111" s="225"/>
      <c r="T111" s="304"/>
      <c r="U111" s="226"/>
      <c r="V111" s="223">
        <f>(1.35*B90)+(1.5*F90)+(1.5*0.7*I90)+(1.5*0.6*M90)</f>
        <v>0</v>
      </c>
      <c r="W111" s="224"/>
      <c r="X111" s="223">
        <f>(1.35*B91)+(1.5*F91)+(1.5*0.7*I91)+(1.5*0.6*M91)</f>
        <v>2850</v>
      </c>
      <c r="Y111" s="224"/>
      <c r="Z111" s="225">
        <f>(1.35*B92)+(1.5*F92)+(1.5*0.7*I92)+(1.5*0.6*M92)</f>
        <v>4020</v>
      </c>
      <c r="AA111" s="226"/>
      <c r="AB111" s="223">
        <f>(1.35*B93)+(1.5*F93)+(1.5*0.7*I93)+(1.5*0.6*M93)</f>
        <v>17661</v>
      </c>
      <c r="AC111" s="224"/>
      <c r="AD111" s="223">
        <f>(1.35*B94)+(1.5*F94)+(1.5*0.7*I94)+(1.5*0.6*M94)</f>
        <v>3993</v>
      </c>
      <c r="AE111" s="224"/>
    </row>
    <row r="112" spans="1:31" ht="15" customHeight="1">
      <c r="A112" s="127">
        <v>11</v>
      </c>
      <c r="B112" s="311">
        <v>1.35</v>
      </c>
      <c r="C112" s="312"/>
      <c r="D112" s="312"/>
      <c r="E112" s="313"/>
      <c r="F112" s="311">
        <v>1.5</v>
      </c>
      <c r="G112" s="312"/>
      <c r="H112" s="313"/>
      <c r="I112" s="311"/>
      <c r="J112" s="313"/>
      <c r="K112" s="311" t="s">
        <v>149</v>
      </c>
      <c r="L112" s="313"/>
      <c r="M112" s="311" t="s">
        <v>150</v>
      </c>
      <c r="N112" s="312"/>
      <c r="O112" s="313"/>
      <c r="P112" s="311"/>
      <c r="Q112" s="312"/>
      <c r="R112" s="313"/>
      <c r="S112" s="225"/>
      <c r="T112" s="304"/>
      <c r="U112" s="226"/>
      <c r="V112" s="223">
        <f>(1.35*B90)+(1.5*F90)+(1.5*0.5*K90)+(1.5*0.6*M90)</f>
        <v>0</v>
      </c>
      <c r="W112" s="224"/>
      <c r="X112" s="223">
        <f>(1.35*B91)+(1.5*F91)+(1.5*0.5*K91)+(1.5*0.6*M91)</f>
        <v>3375</v>
      </c>
      <c r="Y112" s="224"/>
      <c r="Z112" s="225">
        <f>(1.35*B92)+(1.5*F92)+(1.5*0.5*K92)+(1.5*0.6*M92)</f>
        <v>3810</v>
      </c>
      <c r="AA112" s="226"/>
      <c r="AB112" s="223">
        <f>(1.35*B93)+(1.5*F93)+(1.5*0.5*K93)+(1.5*0.6*M93)</f>
        <v>17325</v>
      </c>
      <c r="AC112" s="224"/>
      <c r="AD112" s="223">
        <f>(1.35*B94)+(1.5*F94)+(1.5*0.5*K94)+(1.5*0.6*M94)</f>
        <v>3258</v>
      </c>
      <c r="AE112" s="224"/>
    </row>
    <row r="113" spans="1:31" ht="15" customHeight="1">
      <c r="A113" s="127">
        <v>12</v>
      </c>
      <c r="B113" s="311">
        <v>1.35</v>
      </c>
      <c r="C113" s="312"/>
      <c r="D113" s="312"/>
      <c r="E113" s="313"/>
      <c r="F113" s="311" t="s">
        <v>148</v>
      </c>
      <c r="G113" s="312"/>
      <c r="H113" s="313"/>
      <c r="I113" s="311">
        <v>1.5</v>
      </c>
      <c r="J113" s="313"/>
      <c r="K113" s="311"/>
      <c r="L113" s="313"/>
      <c r="M113" s="311"/>
      <c r="N113" s="312"/>
      <c r="O113" s="313"/>
      <c r="P113" s="311"/>
      <c r="Q113" s="312"/>
      <c r="R113" s="313"/>
      <c r="S113" s="225"/>
      <c r="T113" s="304"/>
      <c r="U113" s="226"/>
      <c r="V113" s="223">
        <f>(1.35*B90)+(1.5*0.7*F90)+(1.5*I90)</f>
        <v>0</v>
      </c>
      <c r="W113" s="224"/>
      <c r="X113" s="223">
        <f>(1.35*B91)+(1.5*0.7*F91)+(1.5*I91)</f>
        <v>2805</v>
      </c>
      <c r="Y113" s="224"/>
      <c r="Z113" s="225">
        <f>(1.35*B92)+(1.5*0.7*F92)+(1.5*I92)</f>
        <v>3525</v>
      </c>
      <c r="AA113" s="226"/>
      <c r="AB113" s="223">
        <f>(1.35*B93)+(1.5*0.7*F93)+(1.5*I93)</f>
        <v>17467.5</v>
      </c>
      <c r="AC113" s="224"/>
      <c r="AD113" s="223">
        <f>(1.35*B94)+(1.5*0.7*F94)+(1.5*I94)</f>
        <v>3660</v>
      </c>
      <c r="AE113" s="224"/>
    </row>
    <row r="114" spans="1:31" ht="15" customHeight="1">
      <c r="A114" s="127">
        <v>13</v>
      </c>
      <c r="B114" s="311">
        <v>1.35</v>
      </c>
      <c r="C114" s="312"/>
      <c r="D114" s="312"/>
      <c r="E114" s="313"/>
      <c r="F114" s="311" t="s">
        <v>148</v>
      </c>
      <c r="G114" s="312"/>
      <c r="H114" s="313"/>
      <c r="I114" s="311"/>
      <c r="J114" s="313"/>
      <c r="K114" s="311">
        <v>1.5</v>
      </c>
      <c r="L114" s="313"/>
      <c r="M114" s="311"/>
      <c r="N114" s="312"/>
      <c r="O114" s="313"/>
      <c r="P114" s="311"/>
      <c r="Q114" s="312"/>
      <c r="R114" s="313"/>
      <c r="S114" s="225"/>
      <c r="T114" s="304"/>
      <c r="U114" s="226"/>
      <c r="V114" s="223">
        <f>(1.35*B90)+(1.5*0.7*F90)+(1.5*K90)</f>
        <v>0</v>
      </c>
      <c r="W114" s="224"/>
      <c r="X114" s="223">
        <f>(1.35*B91)+(1.5*0.7*F91)+(1.5*K91)</f>
        <v>3855</v>
      </c>
      <c r="Y114" s="224"/>
      <c r="Z114" s="225">
        <f>(1.35*B92)+(1.5*0.7*F92)+(1.5*K92)</f>
        <v>3225</v>
      </c>
      <c r="AA114" s="226"/>
      <c r="AB114" s="223">
        <f>(1.35*B93)+(1.5*0.7*F93)+(1.5*K93)</f>
        <v>16987.5</v>
      </c>
      <c r="AC114" s="224"/>
      <c r="AD114" s="223">
        <f>(1.35*B94)+(1.5*0.7*F94)+(1.5*K94)</f>
        <v>2610</v>
      </c>
      <c r="AE114" s="224"/>
    </row>
    <row r="115" spans="1:31" ht="15" customHeight="1">
      <c r="A115" s="127">
        <v>14</v>
      </c>
      <c r="B115" s="311">
        <v>1.35</v>
      </c>
      <c r="C115" s="312"/>
      <c r="D115" s="312"/>
      <c r="E115" s="313"/>
      <c r="F115" s="311" t="s">
        <v>148</v>
      </c>
      <c r="G115" s="312"/>
      <c r="H115" s="313"/>
      <c r="I115" s="311">
        <v>1.5</v>
      </c>
      <c r="J115" s="313"/>
      <c r="K115" s="311"/>
      <c r="L115" s="313"/>
      <c r="M115" s="311" t="s">
        <v>150</v>
      </c>
      <c r="N115" s="312"/>
      <c r="O115" s="313"/>
      <c r="P115" s="311"/>
      <c r="Q115" s="312"/>
      <c r="R115" s="313"/>
      <c r="S115" s="225"/>
      <c r="T115" s="304"/>
      <c r="U115" s="226"/>
      <c r="V115" s="223">
        <f>(1.35*B90)+(1.5*0.7*F90)+(1.5*I90)+(1.5*0.6*M90)</f>
        <v>0</v>
      </c>
      <c r="W115" s="224"/>
      <c r="X115" s="223">
        <f>(1.35*B91)+(1.5*0.7*F91)+(1.5*I91)+(1.5*0.6*M91)</f>
        <v>2805</v>
      </c>
      <c r="Y115" s="224"/>
      <c r="Z115" s="225">
        <f>(1.35*B92)+(1.5*0.7*F92)+(1.5*I92)+(1.5*0.6*M92)</f>
        <v>3885</v>
      </c>
      <c r="AA115" s="226"/>
      <c r="AB115" s="223">
        <f>(1.35*B93)+(1.5*0.7*F93)+(1.5*I93)+(1.5*0.6*M93)</f>
        <v>17467.5</v>
      </c>
      <c r="AC115" s="224"/>
      <c r="AD115" s="223">
        <f>(1.35*B94)+(1.5*0.7*F94)+(1.5*I94)+(1.5*0.6*M94)</f>
        <v>3768</v>
      </c>
      <c r="AE115" s="224"/>
    </row>
    <row r="116" spans="1:31" ht="15" customHeight="1">
      <c r="A116" s="127">
        <v>15</v>
      </c>
      <c r="B116" s="311">
        <v>1.35</v>
      </c>
      <c r="C116" s="312"/>
      <c r="D116" s="312"/>
      <c r="E116" s="313"/>
      <c r="F116" s="311" t="s">
        <v>148</v>
      </c>
      <c r="G116" s="312"/>
      <c r="H116" s="313"/>
      <c r="I116" s="311">
        <v>1.5</v>
      </c>
      <c r="J116" s="313"/>
      <c r="K116" s="311"/>
      <c r="L116" s="313"/>
      <c r="M116" s="311"/>
      <c r="N116" s="312"/>
      <c r="O116" s="313"/>
      <c r="P116" s="311" t="s">
        <v>150</v>
      </c>
      <c r="Q116" s="312"/>
      <c r="R116" s="313"/>
      <c r="S116" s="225"/>
      <c r="T116" s="304"/>
      <c r="U116" s="226"/>
      <c r="V116" s="223">
        <f>(1.35*B90)+(1.5*0.7*F90)+(1.5*I90)+(1.5*0.6*P90)</f>
        <v>0</v>
      </c>
      <c r="W116" s="224"/>
      <c r="X116" s="223">
        <f>(1.35*B91)+(1.5*0.7*F91)+(1.5*I91)+(1.5*0.6*P91)</f>
        <v>2805</v>
      </c>
      <c r="Y116" s="224"/>
      <c r="Z116" s="225">
        <f>(1.35*B92)+(1.5*0.7*F92)+(1.5*I92)+(1.5*0.6*P92)</f>
        <v>3525</v>
      </c>
      <c r="AA116" s="226"/>
      <c r="AB116" s="223">
        <f>(1.35*B93)+(1.5*0.7*F93)+(1.5*I93)+(1.5*0.6*P93)</f>
        <v>17467.5</v>
      </c>
      <c r="AC116" s="224"/>
      <c r="AD116" s="223">
        <f>(1.35*B94)+(1.5*0.7*F94)+(1.5*I94)+(1.5*0.6*P94)</f>
        <v>3660</v>
      </c>
      <c r="AE116" s="224"/>
    </row>
    <row r="117" spans="1:31" ht="15" customHeight="1">
      <c r="A117" s="127">
        <v>16</v>
      </c>
      <c r="B117" s="311">
        <v>1.35</v>
      </c>
      <c r="C117" s="312"/>
      <c r="D117" s="312"/>
      <c r="E117" s="313"/>
      <c r="F117" s="311" t="s">
        <v>148</v>
      </c>
      <c r="G117" s="312"/>
      <c r="H117" s="313"/>
      <c r="I117" s="311"/>
      <c r="J117" s="313"/>
      <c r="K117" s="311">
        <v>1.5</v>
      </c>
      <c r="L117" s="313"/>
      <c r="M117" s="311" t="s">
        <v>150</v>
      </c>
      <c r="N117" s="312"/>
      <c r="O117" s="313"/>
      <c r="P117" s="311"/>
      <c r="Q117" s="312"/>
      <c r="R117" s="313"/>
      <c r="S117" s="225"/>
      <c r="T117" s="304"/>
      <c r="U117" s="226"/>
      <c r="V117" s="223">
        <f>(1.35*B90)+(1.5*0.7*F90)+(1.5*K90)+(1.5*0.6*M90)</f>
        <v>0</v>
      </c>
      <c r="W117" s="224"/>
      <c r="X117" s="223">
        <f>(1.35*B91)+(1.5*0.7*F91)+(1.5*K91)+(1.5*0.6*M91)</f>
        <v>3855</v>
      </c>
      <c r="Y117" s="224"/>
      <c r="Z117" s="225">
        <f>(1.35*B92)+(1.5*0.7*F92)+(1.5*K92)+(1.5*0.6*M92)</f>
        <v>3585</v>
      </c>
      <c r="AA117" s="226"/>
      <c r="AB117" s="223">
        <f>(1.35*B93)+(1.5*0.7*F93)+(1.5*K93)+(1.5*0.6*M93)</f>
        <v>16987.5</v>
      </c>
      <c r="AC117" s="224"/>
      <c r="AD117" s="223">
        <f>(1.35*B94)+(1.5*0.7*F94)+(1.5*K94)+(1.5*0.6*M94)</f>
        <v>2718</v>
      </c>
      <c r="AE117" s="224"/>
    </row>
    <row r="118" spans="1:31" ht="15" customHeight="1">
      <c r="A118" s="127">
        <v>17</v>
      </c>
      <c r="B118" s="311">
        <v>1.35</v>
      </c>
      <c r="C118" s="312"/>
      <c r="D118" s="312"/>
      <c r="E118" s="313"/>
      <c r="F118" s="311" t="s">
        <v>148</v>
      </c>
      <c r="G118" s="312"/>
      <c r="H118" s="313"/>
      <c r="I118" s="311"/>
      <c r="J118" s="313"/>
      <c r="K118" s="311">
        <v>1.5</v>
      </c>
      <c r="L118" s="313"/>
      <c r="M118" s="311"/>
      <c r="N118" s="312"/>
      <c r="O118" s="313"/>
      <c r="P118" s="311" t="s">
        <v>150</v>
      </c>
      <c r="Q118" s="312"/>
      <c r="R118" s="313"/>
      <c r="S118" s="225"/>
      <c r="T118" s="304"/>
      <c r="U118" s="226"/>
      <c r="V118" s="223">
        <f>(1.35*B90)+(1.5*0.7*F90)+(1.5*K90)+(1.5*0.6*P90)</f>
        <v>0</v>
      </c>
      <c r="W118" s="224"/>
      <c r="X118" s="223">
        <f>(1.35*B91)+(1.5*0.7*F91)+(1.5*K91)+(1.5*0.6*P91)</f>
        <v>3855</v>
      </c>
      <c r="Y118" s="224"/>
      <c r="Z118" s="225">
        <f>(1.35*B92)+(1.5*0.7*F92)+(1.5*K92)+(1.5*0.6*P92)</f>
        <v>3225</v>
      </c>
      <c r="AA118" s="226"/>
      <c r="AB118" s="223">
        <f>(1.35*B93)+(1.5*0.7*F93)+(1.5*K93)+(1.5*0.6*P93)</f>
        <v>16987.5</v>
      </c>
      <c r="AC118" s="224"/>
      <c r="AD118" s="223">
        <f>(1.35*B94)+(1.5*0.7*F94)+(1.5*K94)+(1.5*0.6*P94)</f>
        <v>2610</v>
      </c>
      <c r="AE118" s="224"/>
    </row>
    <row r="119" spans="1:31" ht="15" customHeight="1">
      <c r="A119" s="127">
        <v>18</v>
      </c>
      <c r="B119" s="311">
        <v>1.35</v>
      </c>
      <c r="C119" s="312"/>
      <c r="D119" s="312"/>
      <c r="E119" s="313"/>
      <c r="F119" s="311" t="s">
        <v>148</v>
      </c>
      <c r="G119" s="312"/>
      <c r="H119" s="313"/>
      <c r="I119" s="311" t="s">
        <v>148</v>
      </c>
      <c r="J119" s="313"/>
      <c r="K119" s="311"/>
      <c r="L119" s="313"/>
      <c r="M119" s="311">
        <v>1.5</v>
      </c>
      <c r="N119" s="312"/>
      <c r="O119" s="313"/>
      <c r="P119" s="311"/>
      <c r="Q119" s="312"/>
      <c r="R119" s="313"/>
      <c r="S119" s="225"/>
      <c r="T119" s="304"/>
      <c r="U119" s="226"/>
      <c r="V119" s="223">
        <f>(1.35*B90)+(1.5*0.7*F90)+(1.5*0.7*I90)+(1.5*M90)</f>
        <v>0</v>
      </c>
      <c r="W119" s="224"/>
      <c r="X119" s="223">
        <f>(1.35*B91)+(1.5*0.7*F91)+(1.5*0.7*I91)+(1.5*M91)</f>
        <v>2805</v>
      </c>
      <c r="Y119" s="224"/>
      <c r="Z119" s="225">
        <f>(1.35*B92)+(1.5*0.7*F92)+(1.5*0.7*I92)+(1.5*M92)</f>
        <v>4035</v>
      </c>
      <c r="AA119" s="226"/>
      <c r="AB119" s="223">
        <f>(1.35*B93)+(1.5*0.7*F93)+(1.5*0.7*I93)+(1.5*M93)</f>
        <v>17323.5</v>
      </c>
      <c r="AC119" s="224"/>
      <c r="AD119" s="223">
        <f>(1.35*B94)+(1.5*0.7*F94)+(1.5*0.7*I94)+(1.5*M94)</f>
        <v>3525</v>
      </c>
      <c r="AE119" s="224"/>
    </row>
    <row r="120" spans="1:31" ht="15" customHeight="1">
      <c r="A120" s="128">
        <v>19</v>
      </c>
      <c r="B120" s="308">
        <v>1.35</v>
      </c>
      <c r="C120" s="309"/>
      <c r="D120" s="309"/>
      <c r="E120" s="310"/>
      <c r="F120" s="308" t="s">
        <v>148</v>
      </c>
      <c r="G120" s="309"/>
      <c r="H120" s="310"/>
      <c r="I120" s="308"/>
      <c r="J120" s="310"/>
      <c r="K120" s="308" t="s">
        <v>149</v>
      </c>
      <c r="L120" s="310"/>
      <c r="M120" s="308">
        <v>1.5</v>
      </c>
      <c r="N120" s="309"/>
      <c r="O120" s="310"/>
      <c r="P120" s="308"/>
      <c r="Q120" s="309"/>
      <c r="R120" s="310"/>
      <c r="S120" s="203"/>
      <c r="T120" s="307"/>
      <c r="U120" s="204"/>
      <c r="V120" s="201">
        <f>(1.35*B90)+(1.5*0.7*F90)+(1.5*0.5*K90)+(1.5*M90)</f>
        <v>0</v>
      </c>
      <c r="W120" s="202"/>
      <c r="X120" s="201">
        <f>(1.35*B91)+(1.5*0.7*F91)+(1.5*0.5*K91)+(1.5*M91)</f>
        <v>3330</v>
      </c>
      <c r="Y120" s="202"/>
      <c r="Z120" s="203">
        <f>(1.35*B92)+(1.5*0.7*F92)+(1.5*0.5*K92)+(1.5*M92)</f>
        <v>3825</v>
      </c>
      <c r="AA120" s="204"/>
      <c r="AB120" s="201">
        <f>(1.35*B93)+(1.5*0.7*F93)+(1.5*0.5*K93)+(1.5*M93)</f>
        <v>16987.5</v>
      </c>
      <c r="AC120" s="202"/>
      <c r="AD120" s="201">
        <f>(1.35*B94)+(1.5*0.7*F94)+(1.5*0.5*K94)+(1.5*M94)</f>
        <v>2790</v>
      </c>
      <c r="AE120" s="202"/>
    </row>
    <row r="121" spans="1:31" ht="15" customHeight="1">
      <c r="A121" s="37"/>
      <c r="B121" s="304"/>
      <c r="C121" s="304"/>
      <c r="D121" s="304"/>
      <c r="E121" s="304"/>
      <c r="F121" s="304"/>
      <c r="G121" s="304"/>
      <c r="H121" s="304"/>
      <c r="I121" s="304"/>
      <c r="J121" s="304"/>
      <c r="K121" s="304"/>
      <c r="L121" s="304"/>
      <c r="M121" s="304"/>
      <c r="N121" s="304"/>
      <c r="O121" s="304"/>
      <c r="P121" s="304"/>
      <c r="Q121" s="304"/>
      <c r="R121" s="304"/>
      <c r="S121" s="304"/>
      <c r="T121" s="304"/>
      <c r="U121" s="304"/>
      <c r="V121" s="305">
        <f>MAX(V102:V120)</f>
        <v>0</v>
      </c>
      <c r="W121" s="251"/>
      <c r="X121" s="305">
        <f>MAX(X102:X120)</f>
        <v>3855</v>
      </c>
      <c r="Y121" s="251"/>
      <c r="Z121" s="250">
        <f>MAX(Z102:Z120)</f>
        <v>4035</v>
      </c>
      <c r="AA121" s="251"/>
      <c r="AB121" s="305">
        <f>MAX(AB102:AB120)</f>
        <v>17661</v>
      </c>
      <c r="AC121" s="306"/>
      <c r="AD121" s="305">
        <f>MAX(AD102:AD120)</f>
        <v>3993</v>
      </c>
      <c r="AE121" s="306"/>
    </row>
    <row r="125" spans="12:39" ht="15" customHeight="1">
      <c r="L125" s="278" t="s">
        <v>2</v>
      </c>
      <c r="M125" s="279"/>
      <c r="N125" s="279"/>
      <c r="O125" s="279"/>
      <c r="P125" s="279"/>
      <c r="Q125" s="279"/>
      <c r="R125" s="279"/>
      <c r="S125" s="279"/>
      <c r="T125" s="279"/>
      <c r="U125" s="279"/>
      <c r="V125" s="279"/>
      <c r="W125" s="279"/>
      <c r="X125" s="279"/>
      <c r="Y125" s="280"/>
      <c r="Z125" s="281" t="s">
        <v>3</v>
      </c>
      <c r="AA125" s="282"/>
      <c r="AB125" s="282"/>
      <c r="AC125" s="282"/>
      <c r="AD125" s="282"/>
      <c r="AE125" s="282"/>
      <c r="AF125" s="282"/>
      <c r="AG125" s="282"/>
      <c r="AH125" s="282"/>
      <c r="AI125" s="282"/>
      <c r="AJ125" s="282"/>
      <c r="AK125" s="282"/>
      <c r="AL125" s="282"/>
      <c r="AM125" s="283"/>
    </row>
    <row r="126" spans="12:39" ht="15" customHeight="1">
      <c r="L126" s="284" t="s">
        <v>151</v>
      </c>
      <c r="M126" s="285"/>
      <c r="N126" s="284" t="s">
        <v>152</v>
      </c>
      <c r="O126" s="285"/>
      <c r="P126" s="284" t="s">
        <v>153</v>
      </c>
      <c r="Q126" s="285"/>
      <c r="R126" s="284" t="s">
        <v>154</v>
      </c>
      <c r="S126" s="285"/>
      <c r="T126" s="284" t="s">
        <v>47</v>
      </c>
      <c r="U126" s="285"/>
      <c r="V126" s="286" t="s">
        <v>155</v>
      </c>
      <c r="W126" s="287"/>
      <c r="X126" s="290" t="s">
        <v>156</v>
      </c>
      <c r="Y126" s="290"/>
      <c r="Z126" s="267" t="s">
        <v>151</v>
      </c>
      <c r="AA126" s="268"/>
      <c r="AB126" s="267" t="s">
        <v>152</v>
      </c>
      <c r="AC126" s="268"/>
      <c r="AD126" s="267" t="s">
        <v>153</v>
      </c>
      <c r="AE126" s="268"/>
      <c r="AF126" s="267" t="s">
        <v>154</v>
      </c>
      <c r="AG126" s="268"/>
      <c r="AH126" s="267" t="s">
        <v>47</v>
      </c>
      <c r="AI126" s="268"/>
      <c r="AJ126" s="269" t="s">
        <v>155</v>
      </c>
      <c r="AK126" s="270"/>
      <c r="AL126" s="269" t="s">
        <v>156</v>
      </c>
      <c r="AM126" s="270"/>
    </row>
    <row r="127" spans="2:39" ht="15" customHeight="1">
      <c r="B127" s="252" t="s">
        <v>139</v>
      </c>
      <c r="C127" s="253"/>
      <c r="D127" s="253"/>
      <c r="E127" s="253"/>
      <c r="F127" s="253"/>
      <c r="G127" s="253"/>
      <c r="H127" s="253"/>
      <c r="I127" s="253"/>
      <c r="J127" s="253"/>
      <c r="K127" s="253"/>
      <c r="L127" s="257" t="s">
        <v>157</v>
      </c>
      <c r="M127" s="258"/>
      <c r="N127" s="259" t="s">
        <v>158</v>
      </c>
      <c r="O127" s="258"/>
      <c r="P127" s="259" t="s">
        <v>159</v>
      </c>
      <c r="Q127" s="258"/>
      <c r="R127" s="257" t="s">
        <v>160</v>
      </c>
      <c r="S127" s="258"/>
      <c r="T127" s="260" t="s">
        <v>161</v>
      </c>
      <c r="U127" s="261"/>
      <c r="V127" s="288"/>
      <c r="W127" s="289"/>
      <c r="X127" s="291"/>
      <c r="Y127" s="291"/>
      <c r="Z127" s="247" t="s">
        <v>162</v>
      </c>
      <c r="AA127" s="248"/>
      <c r="AB127" s="247" t="s">
        <v>163</v>
      </c>
      <c r="AC127" s="249"/>
      <c r="AD127" s="247" t="s">
        <v>164</v>
      </c>
      <c r="AE127" s="249"/>
      <c r="AF127" s="247" t="s">
        <v>165</v>
      </c>
      <c r="AG127" s="249"/>
      <c r="AH127" s="247" t="s">
        <v>166</v>
      </c>
      <c r="AI127" s="249"/>
      <c r="AJ127" s="271"/>
      <c r="AK127" s="272"/>
      <c r="AL127" s="273"/>
      <c r="AM127" s="274"/>
    </row>
    <row r="128" spans="2:39" ht="15" customHeight="1">
      <c r="B128" s="254"/>
      <c r="C128" s="255"/>
      <c r="D128" s="255"/>
      <c r="E128" s="255"/>
      <c r="F128" s="255"/>
      <c r="G128" s="255"/>
      <c r="H128" s="255"/>
      <c r="I128" s="255"/>
      <c r="J128" s="255"/>
      <c r="K128" s="256"/>
      <c r="L128" s="295" t="s">
        <v>167</v>
      </c>
      <c r="M128" s="296"/>
      <c r="N128" s="295" t="s">
        <v>168</v>
      </c>
      <c r="O128" s="296"/>
      <c r="P128" s="299" t="s">
        <v>169</v>
      </c>
      <c r="Q128" s="300"/>
      <c r="R128" s="301" t="s">
        <v>170</v>
      </c>
      <c r="S128" s="263"/>
      <c r="T128" s="262" t="s">
        <v>171</v>
      </c>
      <c r="U128" s="263"/>
      <c r="V128" s="262" t="s">
        <v>172</v>
      </c>
      <c r="W128" s="263"/>
      <c r="X128" s="291"/>
      <c r="Y128" s="292"/>
      <c r="Z128" s="266" t="s">
        <v>167</v>
      </c>
      <c r="AA128" s="244"/>
      <c r="AB128" s="266" t="s">
        <v>168</v>
      </c>
      <c r="AC128" s="244"/>
      <c r="AD128" s="266" t="s">
        <v>169</v>
      </c>
      <c r="AE128" s="244"/>
      <c r="AF128" s="266" t="s">
        <v>170</v>
      </c>
      <c r="AG128" s="244"/>
      <c r="AH128" s="243" t="s">
        <v>171</v>
      </c>
      <c r="AI128" s="244"/>
      <c r="AJ128" s="243" t="s">
        <v>172</v>
      </c>
      <c r="AK128" s="275"/>
      <c r="AL128" s="273"/>
      <c r="AM128" s="274"/>
    </row>
    <row r="129" spans="1:39" ht="15" customHeight="1">
      <c r="A129" s="125" t="s">
        <v>142</v>
      </c>
      <c r="B129" s="250" t="s">
        <v>143</v>
      </c>
      <c r="C129" s="251"/>
      <c r="D129" s="250" t="s">
        <v>144</v>
      </c>
      <c r="E129" s="251"/>
      <c r="F129" s="250" t="s">
        <v>145</v>
      </c>
      <c r="G129" s="251"/>
      <c r="H129" s="250" t="s">
        <v>146</v>
      </c>
      <c r="I129" s="251"/>
      <c r="J129" s="250" t="s">
        <v>147</v>
      </c>
      <c r="K129" s="251"/>
      <c r="L129" s="297"/>
      <c r="M129" s="298"/>
      <c r="N129" s="297"/>
      <c r="O129" s="298"/>
      <c r="P129" s="297"/>
      <c r="Q129" s="298"/>
      <c r="R129" s="302"/>
      <c r="S129" s="303"/>
      <c r="T129" s="302"/>
      <c r="U129" s="303"/>
      <c r="V129" s="264"/>
      <c r="W129" s="265"/>
      <c r="X129" s="293"/>
      <c r="Y129" s="294"/>
      <c r="Z129" s="245"/>
      <c r="AA129" s="246"/>
      <c r="AB129" s="245"/>
      <c r="AC129" s="246"/>
      <c r="AD129" s="245"/>
      <c r="AE129" s="246"/>
      <c r="AF129" s="245"/>
      <c r="AG129" s="246"/>
      <c r="AH129" s="245"/>
      <c r="AI129" s="246"/>
      <c r="AJ129" s="276"/>
      <c r="AK129" s="277"/>
      <c r="AL129" s="271"/>
      <c r="AM129" s="272"/>
    </row>
    <row r="130" spans="1:39" ht="15" customHeight="1">
      <c r="A130" s="126">
        <v>1</v>
      </c>
      <c r="B130" s="232">
        <f aca="true" t="shared" si="0" ref="B130:B148">V102</f>
        <v>0</v>
      </c>
      <c r="C130" s="233"/>
      <c r="D130" s="234">
        <f aca="true" t="shared" si="1" ref="D130:D148">X102</f>
        <v>2700</v>
      </c>
      <c r="E130" s="235"/>
      <c r="F130" s="236">
        <f aca="true" t="shared" si="2" ref="F130:F148">Z102</f>
        <v>2700</v>
      </c>
      <c r="G130" s="237"/>
      <c r="H130" s="234">
        <f aca="true" t="shared" si="3" ref="H130:H148">AB102</f>
        <v>16200.000000000002</v>
      </c>
      <c r="I130" s="235"/>
      <c r="J130" s="234">
        <f aca="true" t="shared" si="4" ref="J130:J148">AD102</f>
        <v>1350</v>
      </c>
      <c r="K130" s="235"/>
      <c r="L130" s="227">
        <f>(B130/A)/(D79*H56)</f>
        <v>0</v>
      </c>
      <c r="M130" s="228"/>
      <c r="N130" s="227">
        <f>(D130/A)/D81</f>
        <v>0.0010636363636363638</v>
      </c>
      <c r="O130" s="228"/>
      <c r="P130" s="227">
        <f>(F130*1000/WY)/(D78*J56)</f>
        <v>0.011700000000000004</v>
      </c>
      <c r="Q130" s="228"/>
      <c r="R130" s="227">
        <f>(H130*1000/WZ)/(D78*L56)</f>
        <v>0.07020000000000003</v>
      </c>
      <c r="S130" s="228"/>
      <c r="T130" s="227">
        <f>(1.5*J130/A)/D83</f>
        <v>0.0043875</v>
      </c>
      <c r="U130" s="229"/>
      <c r="V130" s="230">
        <f>MAX(L130+P130+(0.7*R30),L130+(0.7*P130)+R30)</f>
        <v>0.011700000000000004</v>
      </c>
      <c r="W130" s="231"/>
      <c r="X130" s="210" t="str">
        <f>IF(AND((L130+P130+(0.7*R130))&lt;=1,(L130+(0.7*P130)+R130)&lt;=1,T130&lt;=1,N130&lt;=1),"CUMPLE","NO CUMPLE")</f>
        <v>CUMPLE</v>
      </c>
      <c r="Y130" s="211"/>
      <c r="Z130" s="240">
        <f>(B130/A)/(J79*H58)</f>
        <v>0</v>
      </c>
      <c r="AA130" s="241"/>
      <c r="AB130" s="240">
        <f>(D130/A)/J81</f>
        <v>0.0009375000000000001</v>
      </c>
      <c r="AC130" s="241"/>
      <c r="AD130" s="240">
        <f>(F130*1000/WY)/(J78*J58)</f>
        <v>0.009468640072561301</v>
      </c>
      <c r="AE130" s="241"/>
      <c r="AF130" s="240">
        <f>(H130*1000/WZ)/(J78*L58)</f>
        <v>0.05681184043536781</v>
      </c>
      <c r="AG130" s="241"/>
      <c r="AH130" s="240">
        <f>(1.5*J130/A)/J83</f>
        <v>0.0062499999999999995</v>
      </c>
      <c r="AI130" s="242"/>
      <c r="AJ130" s="238">
        <f>MAX(Z130+AD130+(0.7*AF130),Z130+(0.7*AD130)+AF130)</f>
        <v>0.06343988848616072</v>
      </c>
      <c r="AK130" s="239"/>
      <c r="AL130" s="197" t="str">
        <f>IF(AND((Z130+AD130+(0.7*AF130))&lt;=1,(Z130+(0.7*AD130)+AF130)&lt;=1,AB130&lt;=1,AH130&lt;=1),"CUMPLE","NO CUMPLE")</f>
        <v>CUMPLE</v>
      </c>
      <c r="AM130" s="198"/>
    </row>
    <row r="131" spans="1:39" ht="15" customHeight="1">
      <c r="A131" s="127">
        <v>2</v>
      </c>
      <c r="B131" s="221">
        <f t="shared" si="0"/>
        <v>0</v>
      </c>
      <c r="C131" s="222"/>
      <c r="D131" s="223">
        <f t="shared" si="1"/>
        <v>2850</v>
      </c>
      <c r="E131" s="224"/>
      <c r="F131" s="225">
        <f t="shared" si="2"/>
        <v>3450</v>
      </c>
      <c r="G131" s="226"/>
      <c r="H131" s="223">
        <f t="shared" si="3"/>
        <v>17325</v>
      </c>
      <c r="I131" s="224"/>
      <c r="J131" s="223">
        <f t="shared" si="4"/>
        <v>3150</v>
      </c>
      <c r="K131" s="224"/>
      <c r="L131" s="205">
        <f>(B131/A)/(F79*H56)</f>
        <v>0</v>
      </c>
      <c r="M131" s="206"/>
      <c r="N131" s="205">
        <f>(D131/A)/F81</f>
        <v>0.0008420454545454546</v>
      </c>
      <c r="O131" s="206"/>
      <c r="P131" s="205">
        <f>(F131*1000/WY)/(F78*J56)</f>
        <v>0.011212499999999999</v>
      </c>
      <c r="Q131" s="206"/>
      <c r="R131" s="205">
        <f>(H131*1000/WZ)/(F78*L56)</f>
        <v>0.056306249999999995</v>
      </c>
      <c r="S131" s="206"/>
      <c r="T131" s="205">
        <f>(1.5*J131/A)/F83</f>
        <v>0.007678125</v>
      </c>
      <c r="U131" s="207"/>
      <c r="V131" s="208">
        <f aca="true" t="shared" si="5" ref="V131:V148">MAX(L131+P131+(0.7*R31),L131+(0.7*P131)+R31)</f>
        <v>0.011212499999999999</v>
      </c>
      <c r="W131" s="209"/>
      <c r="X131" s="210" t="str">
        <f>IF(AND((L131+P131+(0.7*R131))&lt;=1,(L131+(0.7*P131)+R131)&lt;=1,T131&lt;=1,N131&lt;=1),"CUMPLE","NO CUMPLE")</f>
        <v>CUMPLE</v>
      </c>
      <c r="Y131" s="211"/>
      <c r="Z131" s="192">
        <f>(B131/A)/(L79*H58)</f>
        <v>0</v>
      </c>
      <c r="AA131" s="193"/>
      <c r="AB131" s="192">
        <f>(D131/A)/L81</f>
        <v>0.0007421874999999999</v>
      </c>
      <c r="AC131" s="193"/>
      <c r="AD131" s="192">
        <f>(F131*1000/WY)/(L78*J58)</f>
        <v>0.009074113402871245</v>
      </c>
      <c r="AE131" s="193"/>
      <c r="AF131" s="192">
        <f>(H131*1000/WZ)/(L78*L58)</f>
        <v>0.04556783034920125</v>
      </c>
      <c r="AG131" s="193"/>
      <c r="AH131" s="192">
        <f>(1.5*J131/A)/L83</f>
        <v>0.0109375</v>
      </c>
      <c r="AI131" s="194"/>
      <c r="AJ131" s="195">
        <f aca="true" t="shared" si="6" ref="AJ131:AJ148">MAX(Z131+AD131+(0.7*AF131),Z131+(0.7*AD131)+AF131)</f>
        <v>0.05191970973121112</v>
      </c>
      <c r="AK131" s="196"/>
      <c r="AL131" s="197" t="str">
        <f aca="true" t="shared" si="7" ref="AL131:AL148">IF(AND((Z131+AD131+(0.7*AF131))&lt;=1,(Z131+(0.7*AD131)+AF131)&lt;=1,AB131&lt;=1,AH131&lt;=1),"CUMPLE","NO CUMPLE")</f>
        <v>CUMPLE</v>
      </c>
      <c r="AM131" s="198"/>
    </row>
    <row r="132" spans="1:39" ht="15" customHeight="1">
      <c r="A132" s="127">
        <v>3</v>
      </c>
      <c r="B132" s="221">
        <f t="shared" si="0"/>
        <v>0</v>
      </c>
      <c r="C132" s="222"/>
      <c r="D132" s="223">
        <f t="shared" si="1"/>
        <v>2700</v>
      </c>
      <c r="E132" s="224"/>
      <c r="F132" s="225">
        <f t="shared" si="2"/>
        <v>3000</v>
      </c>
      <c r="G132" s="226"/>
      <c r="H132" s="223">
        <f t="shared" si="3"/>
        <v>16680</v>
      </c>
      <c r="I132" s="224"/>
      <c r="J132" s="223">
        <f t="shared" si="4"/>
        <v>2400</v>
      </c>
      <c r="K132" s="224"/>
      <c r="L132" s="205">
        <f>(B132/A)/(F79*H56)</f>
        <v>0</v>
      </c>
      <c r="M132" s="206"/>
      <c r="N132" s="205">
        <f>(D132/A)/F81</f>
        <v>0.0007977272727272728</v>
      </c>
      <c r="O132" s="206"/>
      <c r="P132" s="205">
        <f>(F132*1000/WY)/(F78*J56)</f>
        <v>0.00975</v>
      </c>
      <c r="Q132" s="206"/>
      <c r="R132" s="205">
        <f>(H132*1000/WZ)/(F78*L56)</f>
        <v>0.05421</v>
      </c>
      <c r="S132" s="206"/>
      <c r="T132" s="205">
        <f>(1.5*J132/A)/F83</f>
        <v>0.005849999999999999</v>
      </c>
      <c r="U132" s="207"/>
      <c r="V132" s="208">
        <f t="shared" si="5"/>
        <v>0.00975</v>
      </c>
      <c r="W132" s="209"/>
      <c r="X132" s="210" t="str">
        <f aca="true" t="shared" si="8" ref="X132:X148">IF(AND((L132+P132+(0.7*R132))&lt;=1,(L132+(0.7*P132)+R132)&lt;=1,T132&lt;=1,N132&lt;=1),"CUMPLE","NO CUMPLE")</f>
        <v>CUMPLE</v>
      </c>
      <c r="Y132" s="211"/>
      <c r="Z132" s="192">
        <f>(B132/A)/(L79*H58)</f>
        <v>0</v>
      </c>
      <c r="AA132" s="193"/>
      <c r="AB132" s="192">
        <f>(D132/A)/L81</f>
        <v>0.0007031249999999999</v>
      </c>
      <c r="AC132" s="193"/>
      <c r="AD132" s="192">
        <f>(F132*1000/WY)/(L78*J58)</f>
        <v>0.007890533393801084</v>
      </c>
      <c r="AE132" s="193"/>
      <c r="AF132" s="192">
        <f>(H132*1000/WZ)/(L78*L58)</f>
        <v>0.04387136566953402</v>
      </c>
      <c r="AG132" s="193"/>
      <c r="AH132" s="192">
        <f>(1.5*J132/A)/L83</f>
        <v>0.008333333333333331</v>
      </c>
      <c r="AI132" s="194"/>
      <c r="AJ132" s="195">
        <f t="shared" si="6"/>
        <v>0.04939473904519478</v>
      </c>
      <c r="AK132" s="196"/>
      <c r="AL132" s="197" t="str">
        <f t="shared" si="7"/>
        <v>CUMPLE</v>
      </c>
      <c r="AM132" s="198"/>
    </row>
    <row r="133" spans="1:39" ht="15" customHeight="1">
      <c r="A133" s="127">
        <v>4</v>
      </c>
      <c r="B133" s="221">
        <f t="shared" si="0"/>
        <v>0</v>
      </c>
      <c r="C133" s="222"/>
      <c r="D133" s="223">
        <f t="shared" si="1"/>
        <v>3750</v>
      </c>
      <c r="E133" s="224"/>
      <c r="F133" s="225">
        <f t="shared" si="2"/>
        <v>2700</v>
      </c>
      <c r="G133" s="226"/>
      <c r="H133" s="223">
        <f t="shared" si="3"/>
        <v>16200.000000000002</v>
      </c>
      <c r="I133" s="224"/>
      <c r="J133" s="223">
        <f t="shared" si="4"/>
        <v>1350</v>
      </c>
      <c r="K133" s="224"/>
      <c r="L133" s="205">
        <f>(B133/A)/(G79*H56)</f>
        <v>0</v>
      </c>
      <c r="M133" s="206"/>
      <c r="N133" s="205">
        <f>(D133/A)/G81</f>
        <v>0.000984848484848485</v>
      </c>
      <c r="O133" s="206"/>
      <c r="P133" s="205">
        <f>(F133*1000/WY)/(G78*J56)</f>
        <v>0.0078000000000000005</v>
      </c>
      <c r="Q133" s="206"/>
      <c r="R133" s="205">
        <f>(H133*1000/WZ)/(G78*L56)</f>
        <v>0.04680000000000001</v>
      </c>
      <c r="S133" s="206"/>
      <c r="T133" s="205">
        <f>(1.5*J133/A)/G83</f>
        <v>0.002925</v>
      </c>
      <c r="U133" s="207"/>
      <c r="V133" s="208">
        <f t="shared" si="5"/>
        <v>0.0078000000000000005</v>
      </c>
      <c r="W133" s="209"/>
      <c r="X133" s="210" t="str">
        <f t="shared" si="8"/>
        <v>CUMPLE</v>
      </c>
      <c r="Y133" s="211"/>
      <c r="Z133" s="192">
        <f>(B133/A)/(M79*H58)</f>
        <v>0</v>
      </c>
      <c r="AA133" s="193"/>
      <c r="AB133" s="192">
        <f>(D133/A)/M81</f>
        <v>0.0008680555555555555</v>
      </c>
      <c r="AC133" s="193"/>
      <c r="AD133" s="192">
        <f>(F133*1000/WY)/(M78*J58)</f>
        <v>0.006312426715040868</v>
      </c>
      <c r="AE133" s="193"/>
      <c r="AF133" s="192">
        <f>(H133*1000/WZ)/(M78*L58)</f>
        <v>0.03787456029024521</v>
      </c>
      <c r="AG133" s="193"/>
      <c r="AH133" s="192">
        <f>(1.5*J133/A)/M83</f>
        <v>0.004166666666666666</v>
      </c>
      <c r="AI133" s="194"/>
      <c r="AJ133" s="195">
        <f t="shared" si="6"/>
        <v>0.04229325899077382</v>
      </c>
      <c r="AK133" s="196"/>
      <c r="AL133" s="197" t="str">
        <f t="shared" si="7"/>
        <v>CUMPLE</v>
      </c>
      <c r="AM133" s="198"/>
    </row>
    <row r="134" spans="1:39" ht="15" customHeight="1">
      <c r="A134" s="127">
        <v>5</v>
      </c>
      <c r="B134" s="221">
        <f t="shared" si="0"/>
        <v>0</v>
      </c>
      <c r="C134" s="222"/>
      <c r="D134" s="223">
        <f t="shared" si="1"/>
        <v>2700</v>
      </c>
      <c r="E134" s="224"/>
      <c r="F134" s="225">
        <f t="shared" si="2"/>
        <v>3300</v>
      </c>
      <c r="G134" s="226"/>
      <c r="H134" s="223">
        <f t="shared" si="3"/>
        <v>16200.000000000002</v>
      </c>
      <c r="I134" s="224"/>
      <c r="J134" s="223">
        <f t="shared" si="4"/>
        <v>1530</v>
      </c>
      <c r="K134" s="224"/>
      <c r="L134" s="205">
        <f>(B134/A)/(G79*H56)</f>
        <v>0</v>
      </c>
      <c r="M134" s="206"/>
      <c r="N134" s="205">
        <f>(D134/A)/G81</f>
        <v>0.0007090909090909092</v>
      </c>
      <c r="O134" s="206"/>
      <c r="P134" s="205">
        <f>(F134*1000/WY)/(G78*J56)</f>
        <v>0.009533333333333333</v>
      </c>
      <c r="Q134" s="206"/>
      <c r="R134" s="205">
        <f>(H134*1000/WZ)/(G78*L56)</f>
        <v>0.04680000000000001</v>
      </c>
      <c r="S134" s="206"/>
      <c r="T134" s="205">
        <f>(1.5*J134/A)/G83</f>
        <v>0.0033150000000000002</v>
      </c>
      <c r="U134" s="207"/>
      <c r="V134" s="208">
        <f t="shared" si="5"/>
        <v>0.009533333333333333</v>
      </c>
      <c r="W134" s="209"/>
      <c r="X134" s="210" t="str">
        <f t="shared" si="8"/>
        <v>CUMPLE</v>
      </c>
      <c r="Y134" s="211"/>
      <c r="Z134" s="192">
        <f>(B134/A)/(M79*H58)</f>
        <v>0</v>
      </c>
      <c r="AA134" s="193"/>
      <c r="AB134" s="192">
        <f>(D134/A)/M81</f>
        <v>0.000625</v>
      </c>
      <c r="AC134" s="193"/>
      <c r="AD134" s="192">
        <f>(F134*1000/WY)/(M78*J58)</f>
        <v>0.007715188207272171</v>
      </c>
      <c r="AE134" s="193"/>
      <c r="AF134" s="192">
        <f>(H134*1000/WZ)/(M78*L58)</f>
        <v>0.03787456029024521</v>
      </c>
      <c r="AG134" s="193"/>
      <c r="AH134" s="192">
        <f>(1.5*J134/A)/M83</f>
        <v>0.004722222222222222</v>
      </c>
      <c r="AI134" s="194"/>
      <c r="AJ134" s="195">
        <f t="shared" si="6"/>
        <v>0.04327519203533573</v>
      </c>
      <c r="AK134" s="196"/>
      <c r="AL134" s="197" t="str">
        <f t="shared" si="7"/>
        <v>CUMPLE</v>
      </c>
      <c r="AM134" s="198"/>
    </row>
    <row r="135" spans="1:39" ht="15" customHeight="1">
      <c r="A135" s="127">
        <v>6</v>
      </c>
      <c r="B135" s="221">
        <f t="shared" si="0"/>
        <v>0</v>
      </c>
      <c r="C135" s="222"/>
      <c r="D135" s="223">
        <f t="shared" si="1"/>
        <v>1600</v>
      </c>
      <c r="E135" s="224"/>
      <c r="F135" s="225">
        <f t="shared" si="2"/>
        <v>1600</v>
      </c>
      <c r="G135" s="226"/>
      <c r="H135" s="223">
        <f t="shared" si="3"/>
        <v>9600</v>
      </c>
      <c r="I135" s="224"/>
      <c r="J135" s="223">
        <f t="shared" si="4"/>
        <v>800</v>
      </c>
      <c r="K135" s="224"/>
      <c r="L135" s="205">
        <f>(B135/A)/(G79*H56)</f>
        <v>0</v>
      </c>
      <c r="M135" s="206"/>
      <c r="N135" s="205">
        <f>(D135/A)/G81</f>
        <v>0.00042020202020202023</v>
      </c>
      <c r="O135" s="206"/>
      <c r="P135" s="205">
        <f>(F135*1000/WY)/(G78*J56)</f>
        <v>0.004622222222222222</v>
      </c>
      <c r="Q135" s="206"/>
      <c r="R135" s="205">
        <f>(H135*1000/WZ)/(G78*L56)</f>
        <v>0.027733333333333332</v>
      </c>
      <c r="S135" s="206"/>
      <c r="T135" s="205">
        <f>(1.5*J135/A)/G83</f>
        <v>0.0017333333333333333</v>
      </c>
      <c r="U135" s="207"/>
      <c r="V135" s="208">
        <f t="shared" si="5"/>
        <v>0.004622222222222222</v>
      </c>
      <c r="W135" s="209"/>
      <c r="X135" s="210" t="str">
        <f t="shared" si="8"/>
        <v>CUMPLE</v>
      </c>
      <c r="Y135" s="211"/>
      <c r="Z135" s="192">
        <f>(B135/A)/(M79*H58)</f>
        <v>0</v>
      </c>
      <c r="AA135" s="193"/>
      <c r="AB135" s="192">
        <f>(D135/A)/M81</f>
        <v>0.00037037037037037035</v>
      </c>
      <c r="AC135" s="193"/>
      <c r="AD135" s="192">
        <f>(F135*1000/WY)/(M78*J58)</f>
        <v>0.0037406973126168103</v>
      </c>
      <c r="AE135" s="193"/>
      <c r="AF135" s="192">
        <f>(H135*1000/WZ)/(M78*L58)</f>
        <v>0.022444183875700862</v>
      </c>
      <c r="AG135" s="193"/>
      <c r="AH135" s="192">
        <f>(1.5*J135/A)/M83</f>
        <v>0.0024691358024691353</v>
      </c>
      <c r="AI135" s="194"/>
      <c r="AJ135" s="195">
        <f t="shared" si="6"/>
        <v>0.025062671994532628</v>
      </c>
      <c r="AK135" s="196"/>
      <c r="AL135" s="197" t="str">
        <f t="shared" si="7"/>
        <v>CUMPLE</v>
      </c>
      <c r="AM135" s="198"/>
    </row>
    <row r="136" spans="1:39" ht="15" customHeight="1">
      <c r="A136" s="127">
        <v>7</v>
      </c>
      <c r="B136" s="221">
        <f t="shared" si="0"/>
        <v>0</v>
      </c>
      <c r="C136" s="222"/>
      <c r="D136" s="223">
        <f t="shared" si="1"/>
        <v>2850</v>
      </c>
      <c r="E136" s="224"/>
      <c r="F136" s="225">
        <f t="shared" si="2"/>
        <v>3660</v>
      </c>
      <c r="G136" s="226"/>
      <c r="H136" s="223">
        <f t="shared" si="3"/>
        <v>17661</v>
      </c>
      <c r="I136" s="224"/>
      <c r="J136" s="223">
        <f t="shared" si="4"/>
        <v>3885</v>
      </c>
      <c r="K136" s="224"/>
      <c r="L136" s="205">
        <f>(B136/A)/(F79*H56)</f>
        <v>0</v>
      </c>
      <c r="M136" s="206"/>
      <c r="N136" s="205">
        <f>(D136/A)/F81</f>
        <v>0.0008420454545454546</v>
      </c>
      <c r="O136" s="206"/>
      <c r="P136" s="205">
        <f>(F136*1000/WY)/(F78*J56)</f>
        <v>0.011895</v>
      </c>
      <c r="Q136" s="206"/>
      <c r="R136" s="205">
        <f>(H136*1000/WZ)/(F78*L56)</f>
        <v>0.05739825</v>
      </c>
      <c r="S136" s="206"/>
      <c r="T136" s="205">
        <f>(1.5*J136/A)/F83</f>
        <v>0.0094696875</v>
      </c>
      <c r="U136" s="207"/>
      <c r="V136" s="208">
        <f t="shared" si="5"/>
        <v>0.011895</v>
      </c>
      <c r="W136" s="209"/>
      <c r="X136" s="210" t="str">
        <f t="shared" si="8"/>
        <v>CUMPLE</v>
      </c>
      <c r="Y136" s="211"/>
      <c r="Z136" s="192">
        <f>(B136/A)/(L79*H58)</f>
        <v>0</v>
      </c>
      <c r="AA136" s="193"/>
      <c r="AB136" s="192">
        <f>(D136/A)/L81</f>
        <v>0.0007421874999999999</v>
      </c>
      <c r="AC136" s="193"/>
      <c r="AD136" s="192">
        <f>(F136*1000/WY)/(L78*J58)</f>
        <v>0.00962645074043732</v>
      </c>
      <c r="AE136" s="193"/>
      <c r="AF136" s="192">
        <f>(H136*1000/WZ)/(L78*L58)</f>
        <v>0.046451570089306976</v>
      </c>
      <c r="AG136" s="193"/>
      <c r="AH136" s="192">
        <f>(1.5*J136/A)/L83</f>
        <v>0.013489583333333333</v>
      </c>
      <c r="AI136" s="194"/>
      <c r="AJ136" s="195">
        <f t="shared" si="6"/>
        <v>0.0531900856076131</v>
      </c>
      <c r="AK136" s="196"/>
      <c r="AL136" s="197" t="str">
        <f t="shared" si="7"/>
        <v>CUMPLE</v>
      </c>
      <c r="AM136" s="198"/>
    </row>
    <row r="137" spans="1:39" ht="15" customHeight="1">
      <c r="A137" s="127">
        <v>8</v>
      </c>
      <c r="B137" s="221">
        <f t="shared" si="0"/>
        <v>0</v>
      </c>
      <c r="C137" s="222"/>
      <c r="D137" s="223">
        <f t="shared" si="1"/>
        <v>3375</v>
      </c>
      <c r="E137" s="224"/>
      <c r="F137" s="225">
        <f t="shared" si="2"/>
        <v>3450</v>
      </c>
      <c r="G137" s="226"/>
      <c r="H137" s="223">
        <f t="shared" si="3"/>
        <v>17325</v>
      </c>
      <c r="I137" s="224"/>
      <c r="J137" s="223">
        <f t="shared" si="4"/>
        <v>3150</v>
      </c>
      <c r="K137" s="224"/>
      <c r="L137" s="205">
        <f>(B137/A)/(G79*H56)</f>
        <v>0</v>
      </c>
      <c r="M137" s="206"/>
      <c r="N137" s="205">
        <f>(D137/A)/G81</f>
        <v>0.0008863636363636364</v>
      </c>
      <c r="O137" s="206"/>
      <c r="P137" s="205">
        <f>(F137*1000/WY)/(G78*J56)</f>
        <v>0.009966666666666665</v>
      </c>
      <c r="Q137" s="206"/>
      <c r="R137" s="205">
        <f>(H137*1000/WZ)/(G78*L56)</f>
        <v>0.05005</v>
      </c>
      <c r="S137" s="206"/>
      <c r="T137" s="205">
        <f>(1.5*J137/A)/G83</f>
        <v>0.006825</v>
      </c>
      <c r="U137" s="207"/>
      <c r="V137" s="208">
        <f t="shared" si="5"/>
        <v>0.009966666666666665</v>
      </c>
      <c r="W137" s="209"/>
      <c r="X137" s="210" t="str">
        <f t="shared" si="8"/>
        <v>CUMPLE</v>
      </c>
      <c r="Y137" s="211"/>
      <c r="Z137" s="192">
        <f>(B137/A)/(M79*H58)</f>
        <v>0</v>
      </c>
      <c r="AA137" s="193"/>
      <c r="AB137" s="192">
        <f>(D137/A)/M81</f>
        <v>0.0007812499999999999</v>
      </c>
      <c r="AC137" s="193"/>
      <c r="AD137" s="192">
        <f>(F137*1000/WY)/(M78*J58)</f>
        <v>0.008065878580329996</v>
      </c>
      <c r="AE137" s="193"/>
      <c r="AF137" s="192">
        <f>(H137*1000/WZ)/(M78*L58)</f>
        <v>0.04050473808817889</v>
      </c>
      <c r="AG137" s="193"/>
      <c r="AH137" s="192">
        <f>(1.5*J137/A)/M83</f>
        <v>0.00972222222222222</v>
      </c>
      <c r="AI137" s="194"/>
      <c r="AJ137" s="195">
        <f t="shared" si="6"/>
        <v>0.04615085309440989</v>
      </c>
      <c r="AK137" s="196"/>
      <c r="AL137" s="197" t="str">
        <f t="shared" si="7"/>
        <v>CUMPLE</v>
      </c>
      <c r="AM137" s="198"/>
    </row>
    <row r="138" spans="1:39" ht="15" customHeight="1">
      <c r="A138" s="127">
        <v>9</v>
      </c>
      <c r="B138" s="221">
        <f t="shared" si="0"/>
        <v>0</v>
      </c>
      <c r="C138" s="222"/>
      <c r="D138" s="223">
        <f t="shared" si="1"/>
        <v>2850</v>
      </c>
      <c r="E138" s="224"/>
      <c r="F138" s="225">
        <f t="shared" si="2"/>
        <v>3810</v>
      </c>
      <c r="G138" s="226"/>
      <c r="H138" s="223">
        <f t="shared" si="3"/>
        <v>17325</v>
      </c>
      <c r="I138" s="224"/>
      <c r="J138" s="223">
        <f t="shared" si="4"/>
        <v>3258</v>
      </c>
      <c r="K138" s="224"/>
      <c r="L138" s="205">
        <f>(B138/A)/(G79*H56)</f>
        <v>0</v>
      </c>
      <c r="M138" s="206"/>
      <c r="N138" s="205">
        <f>(D138/A)/G81</f>
        <v>0.0007484848484848486</v>
      </c>
      <c r="O138" s="206"/>
      <c r="P138" s="205">
        <f>(F138*1000/WY)/(G78*J56)</f>
        <v>0.011006666666666666</v>
      </c>
      <c r="Q138" s="206"/>
      <c r="R138" s="205">
        <f>(H138*1000/WZ)/(G78*L56)</f>
        <v>0.05005</v>
      </c>
      <c r="S138" s="206"/>
      <c r="T138" s="205">
        <f>(1.5*J138/A)/G83</f>
        <v>0.007059</v>
      </c>
      <c r="U138" s="207"/>
      <c r="V138" s="208">
        <f t="shared" si="5"/>
        <v>0.011006666666666666</v>
      </c>
      <c r="W138" s="209"/>
      <c r="X138" s="210" t="str">
        <f t="shared" si="8"/>
        <v>CUMPLE</v>
      </c>
      <c r="Y138" s="211"/>
      <c r="Z138" s="192">
        <f>(B138/A)/(M79*H58)</f>
        <v>0</v>
      </c>
      <c r="AA138" s="193"/>
      <c r="AB138" s="192">
        <f>(D138/A)/M81</f>
        <v>0.0006597222222222222</v>
      </c>
      <c r="AC138" s="193"/>
      <c r="AD138" s="192">
        <f>(F138*1000/WY)/(M78*J58)</f>
        <v>0.00890753547566878</v>
      </c>
      <c r="AE138" s="193"/>
      <c r="AF138" s="192">
        <f>(H138*1000/WZ)/(M78*L58)</f>
        <v>0.04050473808817889</v>
      </c>
      <c r="AG138" s="193"/>
      <c r="AH138" s="192">
        <f>(1.5*J138/A)/M83</f>
        <v>0.010055555555555554</v>
      </c>
      <c r="AI138" s="194"/>
      <c r="AJ138" s="195">
        <f t="shared" si="6"/>
        <v>0.04674001292114704</v>
      </c>
      <c r="AK138" s="196"/>
      <c r="AL138" s="197" t="str">
        <f t="shared" si="7"/>
        <v>CUMPLE</v>
      </c>
      <c r="AM138" s="198"/>
    </row>
    <row r="139" spans="1:39" ht="15" customHeight="1">
      <c r="A139" s="127">
        <v>10</v>
      </c>
      <c r="B139" s="221">
        <f t="shared" si="0"/>
        <v>0</v>
      </c>
      <c r="C139" s="222"/>
      <c r="D139" s="223">
        <f t="shared" si="1"/>
        <v>2850</v>
      </c>
      <c r="E139" s="224"/>
      <c r="F139" s="225">
        <f t="shared" si="2"/>
        <v>4020</v>
      </c>
      <c r="G139" s="226"/>
      <c r="H139" s="223">
        <f t="shared" si="3"/>
        <v>17661</v>
      </c>
      <c r="I139" s="224"/>
      <c r="J139" s="223">
        <f t="shared" si="4"/>
        <v>3993</v>
      </c>
      <c r="K139" s="224"/>
      <c r="L139" s="205">
        <f>(B139/A)/(G79*H56)</f>
        <v>0</v>
      </c>
      <c r="M139" s="206"/>
      <c r="N139" s="205">
        <f>(D139/A)/G81</f>
        <v>0.0007484848484848486</v>
      </c>
      <c r="O139" s="206"/>
      <c r="P139" s="205">
        <f>(F139*1000/WY)/(G78*J56)</f>
        <v>0.011613333333333333</v>
      </c>
      <c r="Q139" s="206"/>
      <c r="R139" s="205">
        <f>(H139*1000/WZ)/(G78*L56)</f>
        <v>0.051020666666666666</v>
      </c>
      <c r="S139" s="206"/>
      <c r="T139" s="205">
        <f>(1.5*J139/A)/G83</f>
        <v>0.0086515</v>
      </c>
      <c r="U139" s="207"/>
      <c r="V139" s="208">
        <f t="shared" si="5"/>
        <v>0.011613333333333333</v>
      </c>
      <c r="W139" s="209"/>
      <c r="X139" s="210" t="str">
        <f t="shared" si="8"/>
        <v>CUMPLE</v>
      </c>
      <c r="Y139" s="211"/>
      <c r="Z139" s="192">
        <f>(B139/A)/(M79*H58)</f>
        <v>0</v>
      </c>
      <c r="AA139" s="193"/>
      <c r="AB139" s="192">
        <f>(D139/A)/M81</f>
        <v>0.0006597222222222222</v>
      </c>
      <c r="AC139" s="193"/>
      <c r="AD139" s="192">
        <f>(F139*1000/WY)/(M78*J58)</f>
        <v>0.009398501997949737</v>
      </c>
      <c r="AE139" s="193"/>
      <c r="AF139" s="192">
        <f>(H139*1000/WZ)/(M78*L58)</f>
        <v>0.04129028452382843</v>
      </c>
      <c r="AG139" s="193"/>
      <c r="AH139" s="192">
        <f>(1.5*J139/A)/M83</f>
        <v>0.012324074074074072</v>
      </c>
      <c r="AI139" s="194"/>
      <c r="AJ139" s="195">
        <f t="shared" si="6"/>
        <v>0.04786923592239324</v>
      </c>
      <c r="AK139" s="196"/>
      <c r="AL139" s="197" t="str">
        <f t="shared" si="7"/>
        <v>CUMPLE</v>
      </c>
      <c r="AM139" s="198"/>
    </row>
    <row r="140" spans="1:39" ht="15" customHeight="1">
      <c r="A140" s="127">
        <v>11</v>
      </c>
      <c r="B140" s="221">
        <f t="shared" si="0"/>
        <v>0</v>
      </c>
      <c r="C140" s="222"/>
      <c r="D140" s="223">
        <f t="shared" si="1"/>
        <v>3375</v>
      </c>
      <c r="E140" s="224"/>
      <c r="F140" s="225">
        <f t="shared" si="2"/>
        <v>3810</v>
      </c>
      <c r="G140" s="226"/>
      <c r="H140" s="223">
        <f t="shared" si="3"/>
        <v>17325</v>
      </c>
      <c r="I140" s="224"/>
      <c r="J140" s="223">
        <f t="shared" si="4"/>
        <v>3258</v>
      </c>
      <c r="K140" s="224"/>
      <c r="L140" s="205">
        <f>(B140/A)/(G79*H56)</f>
        <v>0</v>
      </c>
      <c r="M140" s="206"/>
      <c r="N140" s="205">
        <f>(D140/A)/G81</f>
        <v>0.0008863636363636364</v>
      </c>
      <c r="O140" s="206"/>
      <c r="P140" s="205">
        <f>(F140*1000/WY)/(G78*J56)</f>
        <v>0.011006666666666666</v>
      </c>
      <c r="Q140" s="206"/>
      <c r="R140" s="205">
        <f>(H140*1000/WZ)/(G78*L56)</f>
        <v>0.05005</v>
      </c>
      <c r="S140" s="206"/>
      <c r="T140" s="205">
        <f>(1.5*J140/A)/G83</f>
        <v>0.007059</v>
      </c>
      <c r="U140" s="207"/>
      <c r="V140" s="208">
        <f t="shared" si="5"/>
        <v>0.011006666666666666</v>
      </c>
      <c r="W140" s="209"/>
      <c r="X140" s="210" t="str">
        <f t="shared" si="8"/>
        <v>CUMPLE</v>
      </c>
      <c r="Y140" s="211"/>
      <c r="Z140" s="192">
        <f>(B140/A)/(M79*H58)</f>
        <v>0</v>
      </c>
      <c r="AA140" s="193"/>
      <c r="AB140" s="192">
        <f>(D140/A)/M81</f>
        <v>0.0007812499999999999</v>
      </c>
      <c r="AC140" s="193"/>
      <c r="AD140" s="192">
        <f>(F140*1000/WY)/(M78*J58)</f>
        <v>0.00890753547566878</v>
      </c>
      <c r="AE140" s="193"/>
      <c r="AF140" s="192">
        <f>(H140*1000/WZ)/(M78*L58)</f>
        <v>0.04050473808817889</v>
      </c>
      <c r="AG140" s="193"/>
      <c r="AH140" s="192">
        <f>(1.5*J140/A)/M83</f>
        <v>0.010055555555555554</v>
      </c>
      <c r="AI140" s="194"/>
      <c r="AJ140" s="195">
        <f t="shared" si="6"/>
        <v>0.04674001292114704</v>
      </c>
      <c r="AK140" s="196"/>
      <c r="AL140" s="197" t="str">
        <f t="shared" si="7"/>
        <v>CUMPLE</v>
      </c>
      <c r="AM140" s="198"/>
    </row>
    <row r="141" spans="1:39" ht="15" customHeight="1">
      <c r="A141" s="127">
        <v>12</v>
      </c>
      <c r="B141" s="221">
        <f t="shared" si="0"/>
        <v>0</v>
      </c>
      <c r="C141" s="222"/>
      <c r="D141" s="223">
        <f t="shared" si="1"/>
        <v>2805</v>
      </c>
      <c r="E141" s="224"/>
      <c r="F141" s="225">
        <f t="shared" si="2"/>
        <v>3525</v>
      </c>
      <c r="G141" s="226"/>
      <c r="H141" s="223">
        <f t="shared" si="3"/>
        <v>17467.5</v>
      </c>
      <c r="I141" s="224"/>
      <c r="J141" s="223">
        <f t="shared" si="4"/>
        <v>3660</v>
      </c>
      <c r="K141" s="224"/>
      <c r="L141" s="205">
        <f>(B141/A)/(F79*H56)</f>
        <v>0</v>
      </c>
      <c r="M141" s="206"/>
      <c r="N141" s="205">
        <f>(D141/A)/F81</f>
        <v>0.0008287500000000001</v>
      </c>
      <c r="O141" s="206"/>
      <c r="P141" s="205">
        <f>(F141*1000/WY)/(F78*J56)</f>
        <v>0.011456250000000001</v>
      </c>
      <c r="Q141" s="206"/>
      <c r="R141" s="205">
        <f>(H141*1000/WZ)/(F78*L56)</f>
        <v>0.056769375000000004</v>
      </c>
      <c r="S141" s="206"/>
      <c r="T141" s="205">
        <f>(1.5*J141/A)/F83</f>
        <v>0.00892125</v>
      </c>
      <c r="U141" s="207"/>
      <c r="V141" s="208">
        <f t="shared" si="5"/>
        <v>0.011456250000000001</v>
      </c>
      <c r="W141" s="209"/>
      <c r="X141" s="210" t="str">
        <f t="shared" si="8"/>
        <v>CUMPLE</v>
      </c>
      <c r="Y141" s="211"/>
      <c r="Z141" s="192">
        <f>(B141/A)/(L79*H58)</f>
        <v>0</v>
      </c>
      <c r="AA141" s="193"/>
      <c r="AB141" s="192">
        <f>(D141/A)/L81</f>
        <v>0.0007304687499999999</v>
      </c>
      <c r="AC141" s="193"/>
      <c r="AD141" s="192">
        <f>(F141*1000/WY)/(L78*J58)</f>
        <v>0.009271376737716273</v>
      </c>
      <c r="AE141" s="193"/>
      <c r="AF141" s="192">
        <f>(H141*1000/WZ)/(L78*L58)</f>
        <v>0.045942630685406806</v>
      </c>
      <c r="AG141" s="193"/>
      <c r="AH141" s="192">
        <f>(1.5*J141/A)/L83</f>
        <v>0.012708333333333332</v>
      </c>
      <c r="AI141" s="194"/>
      <c r="AJ141" s="195">
        <f t="shared" si="6"/>
        <v>0.0524325944018082</v>
      </c>
      <c r="AK141" s="196"/>
      <c r="AL141" s="197" t="str">
        <f t="shared" si="7"/>
        <v>CUMPLE</v>
      </c>
      <c r="AM141" s="198"/>
    </row>
    <row r="142" spans="1:39" ht="15" customHeight="1">
      <c r="A142" s="127">
        <v>13</v>
      </c>
      <c r="B142" s="221">
        <f t="shared" si="0"/>
        <v>0</v>
      </c>
      <c r="C142" s="222"/>
      <c r="D142" s="223">
        <f t="shared" si="1"/>
        <v>3855</v>
      </c>
      <c r="E142" s="224"/>
      <c r="F142" s="225">
        <f t="shared" si="2"/>
        <v>3225</v>
      </c>
      <c r="G142" s="226"/>
      <c r="H142" s="223">
        <f t="shared" si="3"/>
        <v>16987.5</v>
      </c>
      <c r="I142" s="224"/>
      <c r="J142" s="223">
        <f t="shared" si="4"/>
        <v>2610</v>
      </c>
      <c r="K142" s="224"/>
      <c r="L142" s="205">
        <f>(B142/A)/(G79*H56)</f>
        <v>0</v>
      </c>
      <c r="M142" s="206"/>
      <c r="N142" s="205">
        <f>(D142/A)/G81</f>
        <v>0.0010124242424242424</v>
      </c>
      <c r="O142" s="206"/>
      <c r="P142" s="205">
        <f>(F142*1000/WY)/(G78*J56)</f>
        <v>0.009316666666666668</v>
      </c>
      <c r="Q142" s="206"/>
      <c r="R142" s="205">
        <f>(H142*1000/WZ)/(G78*L56)</f>
        <v>0.049074999999999994</v>
      </c>
      <c r="S142" s="206"/>
      <c r="T142" s="205">
        <f>(1.5*J142/A)/G83</f>
        <v>0.005655</v>
      </c>
      <c r="U142" s="207"/>
      <c r="V142" s="208">
        <f t="shared" si="5"/>
        <v>0.009316666666666668</v>
      </c>
      <c r="W142" s="209"/>
      <c r="X142" s="210" t="str">
        <f t="shared" si="8"/>
        <v>CUMPLE</v>
      </c>
      <c r="Y142" s="211"/>
      <c r="Z142" s="192">
        <f>(B142/A)/(M79*H58)</f>
        <v>0</v>
      </c>
      <c r="AA142" s="193"/>
      <c r="AB142" s="192">
        <f>(D142/A)/M81</f>
        <v>0.000892361111111111</v>
      </c>
      <c r="AC142" s="193"/>
      <c r="AD142" s="192">
        <f>(F142*1000/WY)/(M78*J58)</f>
        <v>0.007539843020743259</v>
      </c>
      <c r="AE142" s="193"/>
      <c r="AF142" s="192">
        <f>(H142*1000/WZ)/(M78*L58)</f>
        <v>0.03971568474879879</v>
      </c>
      <c r="AG142" s="193"/>
      <c r="AH142" s="192">
        <f>(1.5*J142/A)/M83</f>
        <v>0.008055555555555555</v>
      </c>
      <c r="AI142" s="194"/>
      <c r="AJ142" s="195">
        <f t="shared" si="6"/>
        <v>0.04499357486331907</v>
      </c>
      <c r="AK142" s="196"/>
      <c r="AL142" s="197" t="str">
        <f t="shared" si="7"/>
        <v>CUMPLE</v>
      </c>
      <c r="AM142" s="198"/>
    </row>
    <row r="143" spans="1:39" ht="15" customHeight="1">
      <c r="A143" s="127">
        <v>14</v>
      </c>
      <c r="B143" s="221">
        <f t="shared" si="0"/>
        <v>0</v>
      </c>
      <c r="C143" s="222"/>
      <c r="D143" s="223">
        <f t="shared" si="1"/>
        <v>2805</v>
      </c>
      <c r="E143" s="224"/>
      <c r="F143" s="225">
        <f t="shared" si="2"/>
        <v>3885</v>
      </c>
      <c r="G143" s="226"/>
      <c r="H143" s="223">
        <f t="shared" si="3"/>
        <v>17467.5</v>
      </c>
      <c r="I143" s="224"/>
      <c r="J143" s="223">
        <f t="shared" si="4"/>
        <v>3768</v>
      </c>
      <c r="K143" s="224"/>
      <c r="L143" s="205">
        <f>(B143/A)/(G79*H56)</f>
        <v>0</v>
      </c>
      <c r="M143" s="206"/>
      <c r="N143" s="205">
        <f>(D143/A)/G81</f>
        <v>0.0007366666666666667</v>
      </c>
      <c r="O143" s="206"/>
      <c r="P143" s="205">
        <f>(F143*1000/WY)/(G78*J56)</f>
        <v>0.011223333333333333</v>
      </c>
      <c r="Q143" s="206"/>
      <c r="R143" s="205">
        <f>(H143*1000/WZ)/(G78*L56)</f>
        <v>0.05046166666666667</v>
      </c>
      <c r="S143" s="206"/>
      <c r="T143" s="205">
        <f>(1.5*J143/A)/G83</f>
        <v>0.008164</v>
      </c>
      <c r="U143" s="207"/>
      <c r="V143" s="208">
        <f t="shared" si="5"/>
        <v>0.011223333333333333</v>
      </c>
      <c r="W143" s="209"/>
      <c r="X143" s="210" t="str">
        <f t="shared" si="8"/>
        <v>CUMPLE</v>
      </c>
      <c r="Y143" s="211"/>
      <c r="Z143" s="192">
        <f>(B143/A)/(M79*H58)</f>
        <v>0</v>
      </c>
      <c r="AA143" s="193"/>
      <c r="AB143" s="192">
        <f>(D143/A)/M81</f>
        <v>0.0006493055555555555</v>
      </c>
      <c r="AC143" s="193"/>
      <c r="AD143" s="192">
        <f>(F143*1000/WY)/(M78*J58)</f>
        <v>0.009082880662197692</v>
      </c>
      <c r="AE143" s="193"/>
      <c r="AF143" s="192">
        <f>(H143*1000/WZ)/(M78*L58)</f>
        <v>0.04083789394258383</v>
      </c>
      <c r="AG143" s="193"/>
      <c r="AH143" s="192">
        <f>(1.5*J143/A)/M83</f>
        <v>0.011629629629629629</v>
      </c>
      <c r="AI143" s="194"/>
      <c r="AJ143" s="195">
        <f t="shared" si="6"/>
        <v>0.04719591040612221</v>
      </c>
      <c r="AK143" s="196"/>
      <c r="AL143" s="197" t="str">
        <f t="shared" si="7"/>
        <v>CUMPLE</v>
      </c>
      <c r="AM143" s="198"/>
    </row>
    <row r="144" spans="1:39" ht="15" customHeight="1">
      <c r="A144" s="127">
        <v>15</v>
      </c>
      <c r="B144" s="221">
        <f t="shared" si="0"/>
        <v>0</v>
      </c>
      <c r="C144" s="222"/>
      <c r="D144" s="223">
        <f t="shared" si="1"/>
        <v>2805</v>
      </c>
      <c r="E144" s="224"/>
      <c r="F144" s="225">
        <f t="shared" si="2"/>
        <v>3525</v>
      </c>
      <c r="G144" s="226"/>
      <c r="H144" s="223">
        <f t="shared" si="3"/>
        <v>17467.5</v>
      </c>
      <c r="I144" s="224"/>
      <c r="J144" s="223">
        <f t="shared" si="4"/>
        <v>3660</v>
      </c>
      <c r="K144" s="224"/>
      <c r="L144" s="205">
        <f>(B144/A)/(G79*H56)</f>
        <v>0</v>
      </c>
      <c r="M144" s="206"/>
      <c r="N144" s="205">
        <f>(D144/A)/G81</f>
        <v>0.0007366666666666667</v>
      </c>
      <c r="O144" s="206"/>
      <c r="P144" s="205">
        <f>(F144*1000/WY)/(G78*J56)</f>
        <v>0.010183333333333334</v>
      </c>
      <c r="Q144" s="206"/>
      <c r="R144" s="205">
        <f>(H144*1000/WZ)/(G78*L56)</f>
        <v>0.05046166666666667</v>
      </c>
      <c r="S144" s="206"/>
      <c r="T144" s="205">
        <f>(1.5*J144/A)/G83</f>
        <v>0.00793</v>
      </c>
      <c r="U144" s="207"/>
      <c r="V144" s="208">
        <f t="shared" si="5"/>
        <v>0.010183333333333334</v>
      </c>
      <c r="W144" s="209"/>
      <c r="X144" s="210" t="str">
        <f t="shared" si="8"/>
        <v>CUMPLE</v>
      </c>
      <c r="Y144" s="211"/>
      <c r="Z144" s="192">
        <f>(B144/A)/(M79*H58)</f>
        <v>0</v>
      </c>
      <c r="AA144" s="193"/>
      <c r="AB144" s="192">
        <f>(D144/A)/M81</f>
        <v>0.0006493055555555555</v>
      </c>
      <c r="AC144" s="193"/>
      <c r="AD144" s="192">
        <f>(F144*1000/WY)/(M78*J58)</f>
        <v>0.00824122376685891</v>
      </c>
      <c r="AE144" s="193"/>
      <c r="AF144" s="192">
        <f>(H144*1000/WZ)/(M78*L58)</f>
        <v>0.04083789394258383</v>
      </c>
      <c r="AG144" s="193"/>
      <c r="AH144" s="192">
        <f>(1.5*J144/A)/M83</f>
        <v>0.011296296296296296</v>
      </c>
      <c r="AI144" s="194"/>
      <c r="AJ144" s="195">
        <f t="shared" si="6"/>
        <v>0.04660675057938507</v>
      </c>
      <c r="AK144" s="196"/>
      <c r="AL144" s="197" t="str">
        <f t="shared" si="7"/>
        <v>CUMPLE</v>
      </c>
      <c r="AM144" s="198"/>
    </row>
    <row r="145" spans="1:39" ht="15" customHeight="1">
      <c r="A145" s="127">
        <v>16</v>
      </c>
      <c r="B145" s="221">
        <f t="shared" si="0"/>
        <v>0</v>
      </c>
      <c r="C145" s="222"/>
      <c r="D145" s="223">
        <f t="shared" si="1"/>
        <v>3855</v>
      </c>
      <c r="E145" s="224"/>
      <c r="F145" s="225">
        <f t="shared" si="2"/>
        <v>3585</v>
      </c>
      <c r="G145" s="226"/>
      <c r="H145" s="223">
        <f t="shared" si="3"/>
        <v>16987.5</v>
      </c>
      <c r="I145" s="224"/>
      <c r="J145" s="223">
        <f t="shared" si="4"/>
        <v>2718</v>
      </c>
      <c r="K145" s="224"/>
      <c r="L145" s="205">
        <f>(B145/A)/(G79*H56)</f>
        <v>0</v>
      </c>
      <c r="M145" s="206"/>
      <c r="N145" s="205">
        <f>(D145/A)/G81</f>
        <v>0.0010124242424242424</v>
      </c>
      <c r="O145" s="206"/>
      <c r="P145" s="205">
        <f>(F145*1000/WY)/(G78*J56)</f>
        <v>0.010356666666666667</v>
      </c>
      <c r="Q145" s="206"/>
      <c r="R145" s="205">
        <f>(H145*1000/WZ)/(G78*L56)</f>
        <v>0.049074999999999994</v>
      </c>
      <c r="S145" s="206"/>
      <c r="T145" s="205">
        <f>(1.5*J145/A)/G83</f>
        <v>0.005889</v>
      </c>
      <c r="U145" s="207"/>
      <c r="V145" s="208">
        <f t="shared" si="5"/>
        <v>0.010356666666666667</v>
      </c>
      <c r="W145" s="209"/>
      <c r="X145" s="210" t="str">
        <f t="shared" si="8"/>
        <v>CUMPLE</v>
      </c>
      <c r="Y145" s="211"/>
      <c r="Z145" s="192">
        <f>(B145/A)/(M79*H58)</f>
        <v>0</v>
      </c>
      <c r="AA145" s="193"/>
      <c r="AB145" s="192">
        <f>(D145/A)/M81</f>
        <v>0.000892361111111111</v>
      </c>
      <c r="AC145" s="193"/>
      <c r="AD145" s="192">
        <f>(F145*1000/WY)/(M78*J58)</f>
        <v>0.00838149991608204</v>
      </c>
      <c r="AE145" s="193"/>
      <c r="AF145" s="192">
        <f>(H145*1000/WZ)/(M78*L58)</f>
        <v>0.03971568474879879</v>
      </c>
      <c r="AG145" s="193"/>
      <c r="AH145" s="192">
        <f>(1.5*J145/A)/M83</f>
        <v>0.008388888888888888</v>
      </c>
      <c r="AI145" s="194"/>
      <c r="AJ145" s="195">
        <f t="shared" si="6"/>
        <v>0.04558273469005621</v>
      </c>
      <c r="AK145" s="196"/>
      <c r="AL145" s="197" t="str">
        <f t="shared" si="7"/>
        <v>CUMPLE</v>
      </c>
      <c r="AM145" s="198"/>
    </row>
    <row r="146" spans="1:39" ht="15" customHeight="1">
      <c r="A146" s="127">
        <v>17</v>
      </c>
      <c r="B146" s="221">
        <f t="shared" si="0"/>
        <v>0</v>
      </c>
      <c r="C146" s="222"/>
      <c r="D146" s="223">
        <f t="shared" si="1"/>
        <v>3855</v>
      </c>
      <c r="E146" s="224"/>
      <c r="F146" s="225">
        <f t="shared" si="2"/>
        <v>3225</v>
      </c>
      <c r="G146" s="226"/>
      <c r="H146" s="223">
        <f t="shared" si="3"/>
        <v>16987.5</v>
      </c>
      <c r="I146" s="224"/>
      <c r="J146" s="223">
        <f t="shared" si="4"/>
        <v>2610</v>
      </c>
      <c r="K146" s="224"/>
      <c r="L146" s="205">
        <f>(B146/A)/(G79*H56)</f>
        <v>0</v>
      </c>
      <c r="M146" s="206"/>
      <c r="N146" s="205">
        <f>(D146/A)/G81</f>
        <v>0.0010124242424242424</v>
      </c>
      <c r="O146" s="206"/>
      <c r="P146" s="205">
        <f>(F146*1000/WY)/(G78*J56)</f>
        <v>0.009316666666666668</v>
      </c>
      <c r="Q146" s="206"/>
      <c r="R146" s="205">
        <f>(H146*1000/WZ)/(G78*L56)</f>
        <v>0.049074999999999994</v>
      </c>
      <c r="S146" s="206"/>
      <c r="T146" s="205">
        <f>(1.5*J146/A)/G83</f>
        <v>0.005655</v>
      </c>
      <c r="U146" s="207"/>
      <c r="V146" s="208">
        <f t="shared" si="5"/>
        <v>0.009316666666666668</v>
      </c>
      <c r="W146" s="209"/>
      <c r="X146" s="210" t="str">
        <f t="shared" si="8"/>
        <v>CUMPLE</v>
      </c>
      <c r="Y146" s="211"/>
      <c r="Z146" s="192">
        <f>(B146/A)/(M79*H58)</f>
        <v>0</v>
      </c>
      <c r="AA146" s="193"/>
      <c r="AB146" s="192">
        <f>(D146/A)/M81</f>
        <v>0.000892361111111111</v>
      </c>
      <c r="AC146" s="193"/>
      <c r="AD146" s="192">
        <f>(F146*1000/WY)/(M78*J58)</f>
        <v>0.007539843020743259</v>
      </c>
      <c r="AE146" s="193"/>
      <c r="AF146" s="192">
        <f>(H146*1000/WZ)/(M78*L58)</f>
        <v>0.03971568474879879</v>
      </c>
      <c r="AG146" s="193"/>
      <c r="AH146" s="192">
        <f>(1.5*J146/A)/M83</f>
        <v>0.008055555555555555</v>
      </c>
      <c r="AI146" s="194"/>
      <c r="AJ146" s="195">
        <f t="shared" si="6"/>
        <v>0.04499357486331907</v>
      </c>
      <c r="AK146" s="196"/>
      <c r="AL146" s="197" t="str">
        <f t="shared" si="7"/>
        <v>CUMPLE</v>
      </c>
      <c r="AM146" s="198"/>
    </row>
    <row r="147" spans="1:39" ht="15" customHeight="1">
      <c r="A147" s="127">
        <v>18</v>
      </c>
      <c r="B147" s="221">
        <f t="shared" si="0"/>
        <v>0</v>
      </c>
      <c r="C147" s="222"/>
      <c r="D147" s="223">
        <f t="shared" si="1"/>
        <v>2805</v>
      </c>
      <c r="E147" s="224"/>
      <c r="F147" s="225">
        <f t="shared" si="2"/>
        <v>4035</v>
      </c>
      <c r="G147" s="226"/>
      <c r="H147" s="223">
        <f t="shared" si="3"/>
        <v>17323.5</v>
      </c>
      <c r="I147" s="224"/>
      <c r="J147" s="223">
        <f t="shared" si="4"/>
        <v>3525</v>
      </c>
      <c r="K147" s="224"/>
      <c r="L147" s="205">
        <f>(B147/A)/(G79*H56)</f>
        <v>0</v>
      </c>
      <c r="M147" s="206"/>
      <c r="N147" s="205">
        <f>(D147/A)/G81</f>
        <v>0.0007366666666666667</v>
      </c>
      <c r="O147" s="206"/>
      <c r="P147" s="205">
        <f>(F147*1000/WY)/(G78*J56)</f>
        <v>0.011656666666666668</v>
      </c>
      <c r="Q147" s="206"/>
      <c r="R147" s="205">
        <f>(H147*1000/WZ)/(G78*L56)</f>
        <v>0.05004566666666666</v>
      </c>
      <c r="S147" s="206"/>
      <c r="T147" s="205">
        <f>(1.5*J147/A)/G83</f>
        <v>0.007637499999999999</v>
      </c>
      <c r="U147" s="207"/>
      <c r="V147" s="208">
        <f t="shared" si="5"/>
        <v>0.011656666666666668</v>
      </c>
      <c r="W147" s="209"/>
      <c r="X147" s="210" t="str">
        <f t="shared" si="8"/>
        <v>CUMPLE</v>
      </c>
      <c r="Y147" s="211"/>
      <c r="Z147" s="192">
        <f>(B147/A)/(M79*H58)</f>
        <v>0</v>
      </c>
      <c r="AA147" s="193"/>
      <c r="AB147" s="192">
        <f>(D147/A)/M81</f>
        <v>0.0006493055555555555</v>
      </c>
      <c r="AC147" s="193"/>
      <c r="AD147" s="192">
        <f>(F147*1000/WY)/(M78*J58)</f>
        <v>0.009433571035255519</v>
      </c>
      <c r="AE147" s="193"/>
      <c r="AF147" s="192">
        <f>(H147*1000/WZ)/(M78*L58)</f>
        <v>0.040501231184448316</v>
      </c>
      <c r="AG147" s="193"/>
      <c r="AH147" s="192">
        <f>(1.5*J147/A)/M83</f>
        <v>0.010879629629629628</v>
      </c>
      <c r="AI147" s="194"/>
      <c r="AJ147" s="195">
        <f t="shared" si="6"/>
        <v>0.04710473090912718</v>
      </c>
      <c r="AK147" s="196"/>
      <c r="AL147" s="197" t="str">
        <f t="shared" si="7"/>
        <v>CUMPLE</v>
      </c>
      <c r="AM147" s="198"/>
    </row>
    <row r="148" spans="1:39" ht="15" customHeight="1">
      <c r="A148" s="128">
        <v>19</v>
      </c>
      <c r="B148" s="199">
        <f t="shared" si="0"/>
        <v>0</v>
      </c>
      <c r="C148" s="200"/>
      <c r="D148" s="201">
        <f t="shared" si="1"/>
        <v>3330</v>
      </c>
      <c r="E148" s="202"/>
      <c r="F148" s="203">
        <f t="shared" si="2"/>
        <v>3825</v>
      </c>
      <c r="G148" s="204"/>
      <c r="H148" s="201">
        <f t="shared" si="3"/>
        <v>16987.5</v>
      </c>
      <c r="I148" s="202"/>
      <c r="J148" s="201">
        <f t="shared" si="4"/>
        <v>2790</v>
      </c>
      <c r="K148" s="202"/>
      <c r="L148" s="187">
        <f>(B148/A)/(G79*H56)</f>
        <v>0</v>
      </c>
      <c r="M148" s="188"/>
      <c r="N148" s="187">
        <f>(D148/A)/G81</f>
        <v>0.0008745454545454546</v>
      </c>
      <c r="O148" s="188"/>
      <c r="P148" s="187">
        <f>(F148*1000/WY)/(G78*J56)</f>
        <v>0.011049999999999999</v>
      </c>
      <c r="Q148" s="188"/>
      <c r="R148" s="187">
        <f>(H148*1000/WZ)/(G78*L56)</f>
        <v>0.049074999999999994</v>
      </c>
      <c r="S148" s="188"/>
      <c r="T148" s="187">
        <f>(1.5*J148/A)/G83</f>
        <v>0.006045000000000001</v>
      </c>
      <c r="U148" s="189"/>
      <c r="V148" s="190">
        <f t="shared" si="5"/>
        <v>0.011049999999999999</v>
      </c>
      <c r="W148" s="191"/>
      <c r="X148" s="216" t="str">
        <f t="shared" si="8"/>
        <v>CUMPLE</v>
      </c>
      <c r="Y148" s="217"/>
      <c r="Z148" s="218">
        <f>(B148/A)/(M79*H58)</f>
        <v>0</v>
      </c>
      <c r="AA148" s="219"/>
      <c r="AB148" s="218">
        <f>(D148/A)/M81</f>
        <v>0.0007708333333333333</v>
      </c>
      <c r="AC148" s="219"/>
      <c r="AD148" s="218">
        <f>(F148*1000/WY)/(M78*J58)</f>
        <v>0.008942604512974562</v>
      </c>
      <c r="AE148" s="219"/>
      <c r="AF148" s="218">
        <f>(H148*1000/WZ)/(M78*L58)</f>
        <v>0.03971568474879879</v>
      </c>
      <c r="AG148" s="219"/>
      <c r="AH148" s="218">
        <f>(1.5*J148/A)/M83</f>
        <v>0.008611111111111111</v>
      </c>
      <c r="AI148" s="220"/>
      <c r="AJ148" s="212">
        <f t="shared" si="6"/>
        <v>0.04597550790788098</v>
      </c>
      <c r="AK148" s="213"/>
      <c r="AL148" s="214" t="str">
        <f t="shared" si="7"/>
        <v>CUMPLE</v>
      </c>
      <c r="AM148" s="215"/>
    </row>
  </sheetData>
  <sheetProtection password="FF5A" sheet="1" objects="1" scenarios="1" selectLockedCells="1"/>
  <mergeCells count="747">
    <mergeCell ref="A3:AD4"/>
    <mergeCell ref="C7:V7"/>
    <mergeCell ref="W7:AD7"/>
    <mergeCell ref="C8:N8"/>
    <mergeCell ref="O8:V8"/>
    <mergeCell ref="W8:Z8"/>
    <mergeCell ref="AA8:AD8"/>
    <mergeCell ref="E55:G56"/>
    <mergeCell ref="H55:I55"/>
    <mergeCell ref="J55:K55"/>
    <mergeCell ref="L55:M55"/>
    <mergeCell ref="H56:I56"/>
    <mergeCell ref="J56:K56"/>
    <mergeCell ref="L56:M56"/>
    <mergeCell ref="C27:G27"/>
    <mergeCell ref="C28:G28"/>
    <mergeCell ref="A50:AD51"/>
    <mergeCell ref="E53:M53"/>
    <mergeCell ref="E54:G54"/>
    <mergeCell ref="H54:I54"/>
    <mergeCell ref="J54:K54"/>
    <mergeCell ref="L54:M54"/>
    <mergeCell ref="C71:N71"/>
    <mergeCell ref="C72:N72"/>
    <mergeCell ref="D73:N73"/>
    <mergeCell ref="D74:H74"/>
    <mergeCell ref="J74:N74"/>
    <mergeCell ref="B87:U87"/>
    <mergeCell ref="E57:G58"/>
    <mergeCell ref="H57:I57"/>
    <mergeCell ref="J57:K57"/>
    <mergeCell ref="L57:M57"/>
    <mergeCell ref="H58:I58"/>
    <mergeCell ref="J58:K58"/>
    <mergeCell ref="L58:M58"/>
    <mergeCell ref="S89:U89"/>
    <mergeCell ref="B90:E90"/>
    <mergeCell ref="F90:H90"/>
    <mergeCell ref="I90:J90"/>
    <mergeCell ref="K90:L90"/>
    <mergeCell ref="M90:O90"/>
    <mergeCell ref="P90:R90"/>
    <mergeCell ref="S90:U90"/>
    <mergeCell ref="B88:E88"/>
    <mergeCell ref="F88:J88"/>
    <mergeCell ref="K88:R88"/>
    <mergeCell ref="S88:U88"/>
    <mergeCell ref="B89:E89"/>
    <mergeCell ref="F89:H89"/>
    <mergeCell ref="I89:J89"/>
    <mergeCell ref="K89:L89"/>
    <mergeCell ref="M89:O89"/>
    <mergeCell ref="P89:R89"/>
    <mergeCell ref="S91:U91"/>
    <mergeCell ref="B92:E92"/>
    <mergeCell ref="F92:H92"/>
    <mergeCell ref="I92:J92"/>
    <mergeCell ref="K92:L92"/>
    <mergeCell ref="M92:O92"/>
    <mergeCell ref="P92:R92"/>
    <mergeCell ref="S92:U92"/>
    <mergeCell ref="B91:E91"/>
    <mergeCell ref="F91:H91"/>
    <mergeCell ref="I91:J91"/>
    <mergeCell ref="K91:L91"/>
    <mergeCell ref="M91:O91"/>
    <mergeCell ref="P91:R91"/>
    <mergeCell ref="S93:U93"/>
    <mergeCell ref="B94:E94"/>
    <mergeCell ref="F94:H94"/>
    <mergeCell ref="I94:J94"/>
    <mergeCell ref="K94:L94"/>
    <mergeCell ref="M94:O94"/>
    <mergeCell ref="P94:R94"/>
    <mergeCell ref="S94:U94"/>
    <mergeCell ref="B93:E93"/>
    <mergeCell ref="F93:H93"/>
    <mergeCell ref="I93:J93"/>
    <mergeCell ref="K93:L93"/>
    <mergeCell ref="M93:O93"/>
    <mergeCell ref="P93:R93"/>
    <mergeCell ref="B98:AE98"/>
    <mergeCell ref="B99:E99"/>
    <mergeCell ref="F99:R99"/>
    <mergeCell ref="S99:U99"/>
    <mergeCell ref="V99:AE100"/>
    <mergeCell ref="B100:E100"/>
    <mergeCell ref="F100:J100"/>
    <mergeCell ref="K100:R100"/>
    <mergeCell ref="S100:U100"/>
    <mergeCell ref="S101:U101"/>
    <mergeCell ref="V101:W101"/>
    <mergeCell ref="X101:Y101"/>
    <mergeCell ref="Z101:AA101"/>
    <mergeCell ref="AB101:AC101"/>
    <mergeCell ref="AD101:AE101"/>
    <mergeCell ref="B101:E101"/>
    <mergeCell ref="F101:H101"/>
    <mergeCell ref="I101:J101"/>
    <mergeCell ref="K101:L101"/>
    <mergeCell ref="M101:O101"/>
    <mergeCell ref="P101:R101"/>
    <mergeCell ref="S102:U102"/>
    <mergeCell ref="V102:W102"/>
    <mergeCell ref="X102:Y102"/>
    <mergeCell ref="Z102:AA102"/>
    <mergeCell ref="AB102:AC102"/>
    <mergeCell ref="AD102:AE102"/>
    <mergeCell ref="B102:E102"/>
    <mergeCell ref="F102:H102"/>
    <mergeCell ref="I102:J102"/>
    <mergeCell ref="K102:L102"/>
    <mergeCell ref="M102:O102"/>
    <mergeCell ref="P102:R102"/>
    <mergeCell ref="S103:U103"/>
    <mergeCell ref="V103:W103"/>
    <mergeCell ref="X103:Y103"/>
    <mergeCell ref="Z103:AA103"/>
    <mergeCell ref="AB103:AC103"/>
    <mergeCell ref="AD103:AE103"/>
    <mergeCell ref="B103:E103"/>
    <mergeCell ref="F103:H103"/>
    <mergeCell ref="I103:J103"/>
    <mergeCell ref="K103:L103"/>
    <mergeCell ref="M103:O103"/>
    <mergeCell ref="P103:R103"/>
    <mergeCell ref="S104:U104"/>
    <mergeCell ref="V104:W104"/>
    <mergeCell ref="X104:Y104"/>
    <mergeCell ref="Z104:AA104"/>
    <mergeCell ref="AB104:AC104"/>
    <mergeCell ref="AD104:AE104"/>
    <mergeCell ref="B104:E104"/>
    <mergeCell ref="F104:H104"/>
    <mergeCell ref="I104:J104"/>
    <mergeCell ref="K104:L104"/>
    <mergeCell ref="M104:O104"/>
    <mergeCell ref="P104:R104"/>
    <mergeCell ref="S105:U105"/>
    <mergeCell ref="V105:W105"/>
    <mergeCell ref="X105:Y105"/>
    <mergeCell ref="Z105:AA105"/>
    <mergeCell ref="AB105:AC105"/>
    <mergeCell ref="AD105:AE105"/>
    <mergeCell ref="B105:E105"/>
    <mergeCell ref="F105:H105"/>
    <mergeCell ref="I105:J105"/>
    <mergeCell ref="K105:L105"/>
    <mergeCell ref="M105:O105"/>
    <mergeCell ref="P105:R105"/>
    <mergeCell ref="S106:U106"/>
    <mergeCell ref="V106:W106"/>
    <mergeCell ref="X106:Y106"/>
    <mergeCell ref="Z106:AA106"/>
    <mergeCell ref="AB106:AC106"/>
    <mergeCell ref="AD106:AE106"/>
    <mergeCell ref="B106:E106"/>
    <mergeCell ref="F106:H106"/>
    <mergeCell ref="I106:J106"/>
    <mergeCell ref="K106:L106"/>
    <mergeCell ref="M106:O106"/>
    <mergeCell ref="P106:R106"/>
    <mergeCell ref="S107:U107"/>
    <mergeCell ref="V107:W107"/>
    <mergeCell ref="X107:Y107"/>
    <mergeCell ref="Z107:AA107"/>
    <mergeCell ref="AB107:AC107"/>
    <mergeCell ref="AD107:AE107"/>
    <mergeCell ref="B107:E107"/>
    <mergeCell ref="F107:H107"/>
    <mergeCell ref="I107:J107"/>
    <mergeCell ref="K107:L107"/>
    <mergeCell ref="M107:O107"/>
    <mergeCell ref="P107:R107"/>
    <mergeCell ref="S108:U108"/>
    <mergeCell ref="V108:W108"/>
    <mergeCell ref="X108:Y108"/>
    <mergeCell ref="Z108:AA108"/>
    <mergeCell ref="AB108:AC108"/>
    <mergeCell ref="AD108:AE108"/>
    <mergeCell ref="B108:E108"/>
    <mergeCell ref="F108:H108"/>
    <mergeCell ref="I108:J108"/>
    <mergeCell ref="K108:L108"/>
    <mergeCell ref="M108:O108"/>
    <mergeCell ref="P108:R108"/>
    <mergeCell ref="S109:U109"/>
    <mergeCell ref="V109:W109"/>
    <mergeCell ref="X109:Y109"/>
    <mergeCell ref="Z109:AA109"/>
    <mergeCell ref="AB109:AC109"/>
    <mergeCell ref="AD109:AE109"/>
    <mergeCell ref="B109:E109"/>
    <mergeCell ref="F109:H109"/>
    <mergeCell ref="I109:J109"/>
    <mergeCell ref="K109:L109"/>
    <mergeCell ref="M109:O109"/>
    <mergeCell ref="P109:R109"/>
    <mergeCell ref="S110:U110"/>
    <mergeCell ref="V110:W110"/>
    <mergeCell ref="X110:Y110"/>
    <mergeCell ref="Z110:AA110"/>
    <mergeCell ref="AB110:AC110"/>
    <mergeCell ref="AD110:AE110"/>
    <mergeCell ref="B110:E110"/>
    <mergeCell ref="F110:H110"/>
    <mergeCell ref="I110:J110"/>
    <mergeCell ref="K110:L110"/>
    <mergeCell ref="M110:O110"/>
    <mergeCell ref="P110:R110"/>
    <mergeCell ref="S111:U111"/>
    <mergeCell ref="V111:W111"/>
    <mergeCell ref="X111:Y111"/>
    <mergeCell ref="Z111:AA111"/>
    <mergeCell ref="AB111:AC111"/>
    <mergeCell ref="AD111:AE111"/>
    <mergeCell ref="B111:E111"/>
    <mergeCell ref="F111:H111"/>
    <mergeCell ref="I111:J111"/>
    <mergeCell ref="K111:L111"/>
    <mergeCell ref="M111:O111"/>
    <mergeCell ref="P111:R111"/>
    <mergeCell ref="S112:U112"/>
    <mergeCell ref="V112:W112"/>
    <mergeCell ref="X112:Y112"/>
    <mergeCell ref="Z112:AA112"/>
    <mergeCell ref="AB112:AC112"/>
    <mergeCell ref="AD112:AE112"/>
    <mergeCell ref="B112:E112"/>
    <mergeCell ref="F112:H112"/>
    <mergeCell ref="I112:J112"/>
    <mergeCell ref="K112:L112"/>
    <mergeCell ref="M112:O112"/>
    <mergeCell ref="P112:R112"/>
    <mergeCell ref="S113:U113"/>
    <mergeCell ref="V113:W113"/>
    <mergeCell ref="X113:Y113"/>
    <mergeCell ref="Z113:AA113"/>
    <mergeCell ref="AB113:AC113"/>
    <mergeCell ref="AD113:AE113"/>
    <mergeCell ref="B113:E113"/>
    <mergeCell ref="F113:H113"/>
    <mergeCell ref="I113:J113"/>
    <mergeCell ref="K113:L113"/>
    <mergeCell ref="M113:O113"/>
    <mergeCell ref="P113:R113"/>
    <mergeCell ref="S114:U114"/>
    <mergeCell ref="V114:W114"/>
    <mergeCell ref="X114:Y114"/>
    <mergeCell ref="Z114:AA114"/>
    <mergeCell ref="AB114:AC114"/>
    <mergeCell ref="AD114:AE114"/>
    <mergeCell ref="B114:E114"/>
    <mergeCell ref="F114:H114"/>
    <mergeCell ref="I114:J114"/>
    <mergeCell ref="K114:L114"/>
    <mergeCell ref="M114:O114"/>
    <mergeCell ref="P114:R114"/>
    <mergeCell ref="S115:U115"/>
    <mergeCell ref="V115:W115"/>
    <mergeCell ref="X115:Y115"/>
    <mergeCell ref="Z115:AA115"/>
    <mergeCell ref="AB115:AC115"/>
    <mergeCell ref="AD115:AE115"/>
    <mergeCell ref="B115:E115"/>
    <mergeCell ref="F115:H115"/>
    <mergeCell ref="I115:J115"/>
    <mergeCell ref="K115:L115"/>
    <mergeCell ref="M115:O115"/>
    <mergeCell ref="P115:R115"/>
    <mergeCell ref="S116:U116"/>
    <mergeCell ref="V116:W116"/>
    <mergeCell ref="X116:Y116"/>
    <mergeCell ref="Z116:AA116"/>
    <mergeCell ref="AB116:AC116"/>
    <mergeCell ref="AD116:AE116"/>
    <mergeCell ref="B116:E116"/>
    <mergeCell ref="F116:H116"/>
    <mergeCell ref="I116:J116"/>
    <mergeCell ref="K116:L116"/>
    <mergeCell ref="M116:O116"/>
    <mergeCell ref="P116:R116"/>
    <mergeCell ref="S117:U117"/>
    <mergeCell ref="V117:W117"/>
    <mergeCell ref="X117:Y117"/>
    <mergeCell ref="Z117:AA117"/>
    <mergeCell ref="AB117:AC117"/>
    <mergeCell ref="AD117:AE117"/>
    <mergeCell ref="B117:E117"/>
    <mergeCell ref="F117:H117"/>
    <mergeCell ref="I117:J117"/>
    <mergeCell ref="K117:L117"/>
    <mergeCell ref="M117:O117"/>
    <mergeCell ref="P117:R117"/>
    <mergeCell ref="S118:U118"/>
    <mergeCell ref="V118:W118"/>
    <mergeCell ref="X118:Y118"/>
    <mergeCell ref="Z118:AA118"/>
    <mergeCell ref="AB118:AC118"/>
    <mergeCell ref="AD118:AE118"/>
    <mergeCell ref="B118:E118"/>
    <mergeCell ref="F118:H118"/>
    <mergeCell ref="I118:J118"/>
    <mergeCell ref="K118:L118"/>
    <mergeCell ref="M118:O118"/>
    <mergeCell ref="P118:R118"/>
    <mergeCell ref="S119:U119"/>
    <mergeCell ref="V119:W119"/>
    <mergeCell ref="X119:Y119"/>
    <mergeCell ref="Z119:AA119"/>
    <mergeCell ref="AB119:AC119"/>
    <mergeCell ref="AD119:AE119"/>
    <mergeCell ref="B119:E119"/>
    <mergeCell ref="F119:H119"/>
    <mergeCell ref="I119:J119"/>
    <mergeCell ref="K119:L119"/>
    <mergeCell ref="M119:O119"/>
    <mergeCell ref="P119:R119"/>
    <mergeCell ref="S120:U120"/>
    <mergeCell ref="V120:W120"/>
    <mergeCell ref="X120:Y120"/>
    <mergeCell ref="Z120:AA120"/>
    <mergeCell ref="AB120:AC120"/>
    <mergeCell ref="AD120:AE120"/>
    <mergeCell ref="B120:E120"/>
    <mergeCell ref="F120:H120"/>
    <mergeCell ref="I120:J120"/>
    <mergeCell ref="K120:L120"/>
    <mergeCell ref="M120:O120"/>
    <mergeCell ref="P120:R120"/>
    <mergeCell ref="S121:U121"/>
    <mergeCell ref="V121:W121"/>
    <mergeCell ref="X121:Y121"/>
    <mergeCell ref="Z121:AA121"/>
    <mergeCell ref="AB121:AC121"/>
    <mergeCell ref="AD121:AE121"/>
    <mergeCell ref="B121:E121"/>
    <mergeCell ref="F121:H121"/>
    <mergeCell ref="I121:J121"/>
    <mergeCell ref="K121:L121"/>
    <mergeCell ref="M121:O121"/>
    <mergeCell ref="P121:R121"/>
    <mergeCell ref="AB126:AC126"/>
    <mergeCell ref="AD126:AE126"/>
    <mergeCell ref="AF126:AG126"/>
    <mergeCell ref="AH126:AI126"/>
    <mergeCell ref="AJ126:AK127"/>
    <mergeCell ref="AL126:AM129"/>
    <mergeCell ref="AJ128:AK129"/>
    <mergeCell ref="L125:Y125"/>
    <mergeCell ref="Z125:AM125"/>
    <mergeCell ref="L126:M126"/>
    <mergeCell ref="N126:O126"/>
    <mergeCell ref="P126:Q126"/>
    <mergeCell ref="R126:S126"/>
    <mergeCell ref="T126:U126"/>
    <mergeCell ref="V126:W127"/>
    <mergeCell ref="X126:Y129"/>
    <mergeCell ref="Z126:AA126"/>
    <mergeCell ref="L128:M129"/>
    <mergeCell ref="N128:O129"/>
    <mergeCell ref="P128:Q129"/>
    <mergeCell ref="R128:S129"/>
    <mergeCell ref="T128:U129"/>
    <mergeCell ref="AD128:AE129"/>
    <mergeCell ref="AF128:AG129"/>
    <mergeCell ref="AH128:AI129"/>
    <mergeCell ref="Z127:AA127"/>
    <mergeCell ref="AB127:AC127"/>
    <mergeCell ref="AD127:AE127"/>
    <mergeCell ref="AF127:AG127"/>
    <mergeCell ref="AH127:AI127"/>
    <mergeCell ref="B129:C129"/>
    <mergeCell ref="D129:E129"/>
    <mergeCell ref="F129:G129"/>
    <mergeCell ref="H129:I129"/>
    <mergeCell ref="J129:K129"/>
    <mergeCell ref="B127:K128"/>
    <mergeCell ref="L127:M127"/>
    <mergeCell ref="N127:O127"/>
    <mergeCell ref="P127:Q127"/>
    <mergeCell ref="R127:S127"/>
    <mergeCell ref="T127:U127"/>
    <mergeCell ref="V128:W129"/>
    <mergeCell ref="Z128:AA129"/>
    <mergeCell ref="AB128:AC129"/>
    <mergeCell ref="B130:C130"/>
    <mergeCell ref="D130:E130"/>
    <mergeCell ref="F130:G130"/>
    <mergeCell ref="H130:I130"/>
    <mergeCell ref="J130:K130"/>
    <mergeCell ref="AJ130:AK130"/>
    <mergeCell ref="AL130:AM130"/>
    <mergeCell ref="B131:C131"/>
    <mergeCell ref="D131:E131"/>
    <mergeCell ref="F131:G131"/>
    <mergeCell ref="H131:I131"/>
    <mergeCell ref="J131:K131"/>
    <mergeCell ref="L131:M131"/>
    <mergeCell ref="N131:O131"/>
    <mergeCell ref="P131:Q131"/>
    <mergeCell ref="X130:Y130"/>
    <mergeCell ref="Z130:AA130"/>
    <mergeCell ref="AB130:AC130"/>
    <mergeCell ref="AD130:AE130"/>
    <mergeCell ref="AF130:AG130"/>
    <mergeCell ref="AH130:AI130"/>
    <mergeCell ref="L130:M130"/>
    <mergeCell ref="N130:O130"/>
    <mergeCell ref="P130:Q130"/>
    <mergeCell ref="AD133:AE133"/>
    <mergeCell ref="AF131:AG131"/>
    <mergeCell ref="AH131:AI131"/>
    <mergeCell ref="AJ131:AK131"/>
    <mergeCell ref="AL131:AM131"/>
    <mergeCell ref="B132:C132"/>
    <mergeCell ref="D132:E132"/>
    <mergeCell ref="F132:G132"/>
    <mergeCell ref="H132:I132"/>
    <mergeCell ref="J132:K132"/>
    <mergeCell ref="R131:S131"/>
    <mergeCell ref="T131:U131"/>
    <mergeCell ref="V131:W131"/>
    <mergeCell ref="X131:Y131"/>
    <mergeCell ref="Z131:AA131"/>
    <mergeCell ref="AB131:AC131"/>
    <mergeCell ref="AJ132:AK132"/>
    <mergeCell ref="AL132:AM132"/>
    <mergeCell ref="Z132:AA132"/>
    <mergeCell ref="AB132:AC132"/>
    <mergeCell ref="AD132:AE132"/>
    <mergeCell ref="AF132:AG132"/>
    <mergeCell ref="AH132:AI132"/>
    <mergeCell ref="X132:Y132"/>
    <mergeCell ref="R130:S130"/>
    <mergeCell ref="T130:U130"/>
    <mergeCell ref="V130:W130"/>
    <mergeCell ref="AD131:AE131"/>
    <mergeCell ref="L132:M132"/>
    <mergeCell ref="N132:O132"/>
    <mergeCell ref="P132:Q132"/>
    <mergeCell ref="R132:S132"/>
    <mergeCell ref="T132:U132"/>
    <mergeCell ref="V132:W132"/>
    <mergeCell ref="AF133:AG133"/>
    <mergeCell ref="AH133:AI133"/>
    <mergeCell ref="AJ133:AK133"/>
    <mergeCell ref="AL133:AM133"/>
    <mergeCell ref="B134:C134"/>
    <mergeCell ref="D134:E134"/>
    <mergeCell ref="F134:G134"/>
    <mergeCell ref="H134:I134"/>
    <mergeCell ref="J134:K134"/>
    <mergeCell ref="R133:S133"/>
    <mergeCell ref="T133:U133"/>
    <mergeCell ref="V133:W133"/>
    <mergeCell ref="X133:Y133"/>
    <mergeCell ref="Z133:AA133"/>
    <mergeCell ref="AB133:AC133"/>
    <mergeCell ref="AJ134:AK134"/>
    <mergeCell ref="AL134:AM134"/>
    <mergeCell ref="Z134:AA134"/>
    <mergeCell ref="AB134:AC134"/>
    <mergeCell ref="AD134:AE134"/>
    <mergeCell ref="AF134:AG134"/>
    <mergeCell ref="AH134:AI134"/>
    <mergeCell ref="B133:C133"/>
    <mergeCell ref="D133:E133"/>
    <mergeCell ref="F133:G133"/>
    <mergeCell ref="H133:I133"/>
    <mergeCell ref="D135:E135"/>
    <mergeCell ref="F135:G135"/>
    <mergeCell ref="H135:I135"/>
    <mergeCell ref="J135:K135"/>
    <mergeCell ref="L135:M135"/>
    <mergeCell ref="N135:O135"/>
    <mergeCell ref="P135:Q135"/>
    <mergeCell ref="J133:K133"/>
    <mergeCell ref="L133:M133"/>
    <mergeCell ref="N133:O133"/>
    <mergeCell ref="P133:Q133"/>
    <mergeCell ref="X134:Y134"/>
    <mergeCell ref="L134:M134"/>
    <mergeCell ref="N134:O134"/>
    <mergeCell ref="P134:Q134"/>
    <mergeCell ref="R134:S134"/>
    <mergeCell ref="T134:U134"/>
    <mergeCell ref="V134:W134"/>
    <mergeCell ref="AD135:AE135"/>
    <mergeCell ref="AF135:AG135"/>
    <mergeCell ref="AH135:AI135"/>
    <mergeCell ref="AJ135:AK135"/>
    <mergeCell ref="AL135:AM135"/>
    <mergeCell ref="B136:C136"/>
    <mergeCell ref="D136:E136"/>
    <mergeCell ref="F136:G136"/>
    <mergeCell ref="H136:I136"/>
    <mergeCell ref="J136:K136"/>
    <mergeCell ref="R135:S135"/>
    <mergeCell ref="T135:U135"/>
    <mergeCell ref="V135:W135"/>
    <mergeCell ref="X135:Y135"/>
    <mergeCell ref="Z135:AA135"/>
    <mergeCell ref="AB135:AC135"/>
    <mergeCell ref="AJ136:AK136"/>
    <mergeCell ref="AL136:AM136"/>
    <mergeCell ref="Z136:AA136"/>
    <mergeCell ref="AB136:AC136"/>
    <mergeCell ref="AD136:AE136"/>
    <mergeCell ref="AF136:AG136"/>
    <mergeCell ref="AH136:AI136"/>
    <mergeCell ref="B135:C135"/>
    <mergeCell ref="D137:E137"/>
    <mergeCell ref="F137:G137"/>
    <mergeCell ref="H137:I137"/>
    <mergeCell ref="J137:K137"/>
    <mergeCell ref="L137:M137"/>
    <mergeCell ref="N137:O137"/>
    <mergeCell ref="P137:Q137"/>
    <mergeCell ref="X136:Y136"/>
    <mergeCell ref="L136:M136"/>
    <mergeCell ref="N136:O136"/>
    <mergeCell ref="P136:Q136"/>
    <mergeCell ref="R136:S136"/>
    <mergeCell ref="T136:U136"/>
    <mergeCell ref="V136:W136"/>
    <mergeCell ref="AD137:AE137"/>
    <mergeCell ref="AF137:AG137"/>
    <mergeCell ref="AH137:AI137"/>
    <mergeCell ref="AJ137:AK137"/>
    <mergeCell ref="AL137:AM137"/>
    <mergeCell ref="B138:C138"/>
    <mergeCell ref="D138:E138"/>
    <mergeCell ref="F138:G138"/>
    <mergeCell ref="H138:I138"/>
    <mergeCell ref="J138:K138"/>
    <mergeCell ref="R137:S137"/>
    <mergeCell ref="T137:U137"/>
    <mergeCell ref="V137:W137"/>
    <mergeCell ref="X137:Y137"/>
    <mergeCell ref="Z137:AA137"/>
    <mergeCell ref="AB137:AC137"/>
    <mergeCell ref="AJ138:AK138"/>
    <mergeCell ref="AL138:AM138"/>
    <mergeCell ref="Z138:AA138"/>
    <mergeCell ref="AB138:AC138"/>
    <mergeCell ref="AD138:AE138"/>
    <mergeCell ref="AF138:AG138"/>
    <mergeCell ref="AH138:AI138"/>
    <mergeCell ref="B137:C137"/>
    <mergeCell ref="D139:E139"/>
    <mergeCell ref="F139:G139"/>
    <mergeCell ref="H139:I139"/>
    <mergeCell ref="J139:K139"/>
    <mergeCell ref="L139:M139"/>
    <mergeCell ref="N139:O139"/>
    <mergeCell ref="P139:Q139"/>
    <mergeCell ref="X138:Y138"/>
    <mergeCell ref="L138:M138"/>
    <mergeCell ref="N138:O138"/>
    <mergeCell ref="P138:Q138"/>
    <mergeCell ref="R138:S138"/>
    <mergeCell ref="T138:U138"/>
    <mergeCell ref="V138:W138"/>
    <mergeCell ref="AD139:AE139"/>
    <mergeCell ref="AF139:AG139"/>
    <mergeCell ref="AH139:AI139"/>
    <mergeCell ref="AJ139:AK139"/>
    <mergeCell ref="AL139:AM139"/>
    <mergeCell ref="B140:C140"/>
    <mergeCell ref="D140:E140"/>
    <mergeCell ref="F140:G140"/>
    <mergeCell ref="H140:I140"/>
    <mergeCell ref="J140:K140"/>
    <mergeCell ref="R139:S139"/>
    <mergeCell ref="T139:U139"/>
    <mergeCell ref="V139:W139"/>
    <mergeCell ref="X139:Y139"/>
    <mergeCell ref="Z139:AA139"/>
    <mergeCell ref="AB139:AC139"/>
    <mergeCell ref="AJ140:AK140"/>
    <mergeCell ref="AL140:AM140"/>
    <mergeCell ref="Z140:AA140"/>
    <mergeCell ref="AB140:AC140"/>
    <mergeCell ref="AD140:AE140"/>
    <mergeCell ref="AF140:AG140"/>
    <mergeCell ref="AH140:AI140"/>
    <mergeCell ref="B139:C139"/>
    <mergeCell ref="D141:E141"/>
    <mergeCell ref="F141:G141"/>
    <mergeCell ref="H141:I141"/>
    <mergeCell ref="J141:K141"/>
    <mergeCell ref="L141:M141"/>
    <mergeCell ref="N141:O141"/>
    <mergeCell ref="P141:Q141"/>
    <mergeCell ref="X140:Y140"/>
    <mergeCell ref="L140:M140"/>
    <mergeCell ref="N140:O140"/>
    <mergeCell ref="P140:Q140"/>
    <mergeCell ref="R140:S140"/>
    <mergeCell ref="T140:U140"/>
    <mergeCell ref="V140:W140"/>
    <mergeCell ref="AD141:AE141"/>
    <mergeCell ref="AF141:AG141"/>
    <mergeCell ref="AH141:AI141"/>
    <mergeCell ref="AJ141:AK141"/>
    <mergeCell ref="AL141:AM141"/>
    <mergeCell ref="B142:C142"/>
    <mergeCell ref="D142:E142"/>
    <mergeCell ref="F142:G142"/>
    <mergeCell ref="H142:I142"/>
    <mergeCell ref="J142:K142"/>
    <mergeCell ref="R141:S141"/>
    <mergeCell ref="T141:U141"/>
    <mergeCell ref="V141:W141"/>
    <mergeCell ref="X141:Y141"/>
    <mergeCell ref="Z141:AA141"/>
    <mergeCell ref="AB141:AC141"/>
    <mergeCell ref="AJ142:AK142"/>
    <mergeCell ref="AL142:AM142"/>
    <mergeCell ref="Z142:AA142"/>
    <mergeCell ref="AB142:AC142"/>
    <mergeCell ref="AD142:AE142"/>
    <mergeCell ref="AF142:AG142"/>
    <mergeCell ref="AH142:AI142"/>
    <mergeCell ref="B141:C141"/>
    <mergeCell ref="D143:E143"/>
    <mergeCell ref="F143:G143"/>
    <mergeCell ref="H143:I143"/>
    <mergeCell ref="J143:K143"/>
    <mergeCell ref="L143:M143"/>
    <mergeCell ref="N143:O143"/>
    <mergeCell ref="P143:Q143"/>
    <mergeCell ref="X142:Y142"/>
    <mergeCell ref="L142:M142"/>
    <mergeCell ref="N142:O142"/>
    <mergeCell ref="P142:Q142"/>
    <mergeCell ref="R142:S142"/>
    <mergeCell ref="T142:U142"/>
    <mergeCell ref="V142:W142"/>
    <mergeCell ref="AD143:AE143"/>
    <mergeCell ref="AF143:AG143"/>
    <mergeCell ref="AH143:AI143"/>
    <mergeCell ref="AJ143:AK143"/>
    <mergeCell ref="AL143:AM143"/>
    <mergeCell ref="B144:C144"/>
    <mergeCell ref="D144:E144"/>
    <mergeCell ref="F144:G144"/>
    <mergeCell ref="H144:I144"/>
    <mergeCell ref="J144:K144"/>
    <mergeCell ref="R143:S143"/>
    <mergeCell ref="T143:U143"/>
    <mergeCell ref="V143:W143"/>
    <mergeCell ref="X143:Y143"/>
    <mergeCell ref="Z143:AA143"/>
    <mergeCell ref="AB143:AC143"/>
    <mergeCell ref="AJ144:AK144"/>
    <mergeCell ref="AL144:AM144"/>
    <mergeCell ref="Z144:AA144"/>
    <mergeCell ref="AB144:AC144"/>
    <mergeCell ref="AD144:AE144"/>
    <mergeCell ref="AF144:AG144"/>
    <mergeCell ref="AH144:AI144"/>
    <mergeCell ref="B143:C143"/>
    <mergeCell ref="D145:E145"/>
    <mergeCell ref="F145:G145"/>
    <mergeCell ref="H145:I145"/>
    <mergeCell ref="J145:K145"/>
    <mergeCell ref="L145:M145"/>
    <mergeCell ref="N145:O145"/>
    <mergeCell ref="P145:Q145"/>
    <mergeCell ref="X144:Y144"/>
    <mergeCell ref="L144:M144"/>
    <mergeCell ref="N144:O144"/>
    <mergeCell ref="P144:Q144"/>
    <mergeCell ref="R144:S144"/>
    <mergeCell ref="T144:U144"/>
    <mergeCell ref="V144:W144"/>
    <mergeCell ref="AD145:AE145"/>
    <mergeCell ref="AF145:AG145"/>
    <mergeCell ref="AH145:AI145"/>
    <mergeCell ref="AJ145:AK145"/>
    <mergeCell ref="AL145:AM145"/>
    <mergeCell ref="B146:C146"/>
    <mergeCell ref="D146:E146"/>
    <mergeCell ref="F146:G146"/>
    <mergeCell ref="H146:I146"/>
    <mergeCell ref="J146:K146"/>
    <mergeCell ref="R145:S145"/>
    <mergeCell ref="T145:U145"/>
    <mergeCell ref="V145:W145"/>
    <mergeCell ref="X145:Y145"/>
    <mergeCell ref="Z145:AA145"/>
    <mergeCell ref="AB145:AC145"/>
    <mergeCell ref="AJ146:AK146"/>
    <mergeCell ref="AL146:AM146"/>
    <mergeCell ref="Z146:AA146"/>
    <mergeCell ref="AB146:AC146"/>
    <mergeCell ref="AD146:AE146"/>
    <mergeCell ref="AF146:AG146"/>
    <mergeCell ref="AH146:AI146"/>
    <mergeCell ref="B145:C145"/>
    <mergeCell ref="H147:I147"/>
    <mergeCell ref="J147:K147"/>
    <mergeCell ref="L147:M147"/>
    <mergeCell ref="N147:O147"/>
    <mergeCell ref="P147:Q147"/>
    <mergeCell ref="X146:Y146"/>
    <mergeCell ref="L146:M146"/>
    <mergeCell ref="N146:O146"/>
    <mergeCell ref="P146:Q146"/>
    <mergeCell ref="R146:S146"/>
    <mergeCell ref="T146:U146"/>
    <mergeCell ref="V146:W146"/>
    <mergeCell ref="AJ147:AK147"/>
    <mergeCell ref="AL147:AM147"/>
    <mergeCell ref="B148:C148"/>
    <mergeCell ref="D148:E148"/>
    <mergeCell ref="F148:G148"/>
    <mergeCell ref="H148:I148"/>
    <mergeCell ref="J148:K148"/>
    <mergeCell ref="R147:S147"/>
    <mergeCell ref="T147:U147"/>
    <mergeCell ref="V147:W147"/>
    <mergeCell ref="X147:Y147"/>
    <mergeCell ref="Z147:AA147"/>
    <mergeCell ref="AB147:AC147"/>
    <mergeCell ref="AJ148:AK148"/>
    <mergeCell ref="AL148:AM148"/>
    <mergeCell ref="X148:Y148"/>
    <mergeCell ref="Z148:AA148"/>
    <mergeCell ref="AB148:AC148"/>
    <mergeCell ref="AD148:AE148"/>
    <mergeCell ref="AF148:AG148"/>
    <mergeCell ref="AH148:AI148"/>
    <mergeCell ref="B147:C147"/>
    <mergeCell ref="D147:E147"/>
    <mergeCell ref="F147:G147"/>
    <mergeCell ref="L148:M148"/>
    <mergeCell ref="N148:O148"/>
    <mergeCell ref="P148:Q148"/>
    <mergeCell ref="R148:S148"/>
    <mergeCell ref="T148:U148"/>
    <mergeCell ref="V148:W148"/>
    <mergeCell ref="AD147:AE147"/>
    <mergeCell ref="AF147:AG147"/>
    <mergeCell ref="AH147:AI147"/>
  </mergeCells>
  <conditionalFormatting sqref="X101:Y101">
    <cfRule type="cellIs" priority="7" dxfId="11" operator="equal">
      <formula>$X$121</formula>
    </cfRule>
  </conditionalFormatting>
  <conditionalFormatting sqref="X102:Y120">
    <cfRule type="cellIs" priority="6" dxfId="12" operator="equal">
      <formula>$X$121</formula>
    </cfRule>
  </conditionalFormatting>
  <conditionalFormatting sqref="Z102:AA120">
    <cfRule type="cellIs" priority="5" dxfId="12" operator="equal">
      <formula>$Z$121</formula>
    </cfRule>
  </conditionalFormatting>
  <conditionalFormatting sqref="AB102:AC120">
    <cfRule type="cellIs" priority="4" dxfId="12" operator="equal">
      <formula>$AB$121</formula>
    </cfRule>
  </conditionalFormatting>
  <conditionalFormatting sqref="AD102:AE120">
    <cfRule type="cellIs" priority="3" dxfId="12" operator="equal">
      <formula>$AD$121</formula>
    </cfRule>
  </conditionalFormatting>
  <conditionalFormatting sqref="V102:W120">
    <cfRule type="cellIs" priority="2" dxfId="12" operator="equal">
      <formula>$V$121</formula>
    </cfRule>
  </conditionalFormatting>
  <conditionalFormatting sqref="D129:E129">
    <cfRule type="cellIs" priority="1" dxfId="11" operator="equal">
      <formula>$X$121</formula>
    </cfRule>
  </conditionalFormatting>
  <dataValidations count="3">
    <dataValidation type="list" allowBlank="1" showInputMessage="1" showErrorMessage="1" sqref="B55">
      <formula1>$C$9:V9</formula1>
    </dataValidation>
    <dataValidation type="list" allowBlank="1" showInputMessage="1" showErrorMessage="1" sqref="B56 B60">
      <formula1>$B$30:$B$32</formula1>
    </dataValidation>
    <dataValidation type="list" allowBlank="1" showInputMessage="1" showErrorMessage="1" sqref="B59">
      <formula1>$W$9:$AD$9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B234"/>
  <sheetViews>
    <sheetView zoomScale="85" zoomScaleNormal="85" workbookViewId="0" topLeftCell="A146">
      <selection activeCell="O119" sqref="O119"/>
    </sheetView>
  </sheetViews>
  <sheetFormatPr defaultColWidth="6.7109375" defaultRowHeight="15"/>
  <cols>
    <col min="4" max="4" width="8.7109375" style="0" bestFit="1" customWidth="1"/>
    <col min="5" max="5" width="9.7109375" style="0" customWidth="1"/>
    <col min="6" max="6" width="10.140625" style="0" customWidth="1"/>
    <col min="11" max="11" width="7.7109375" style="0" bestFit="1" customWidth="1"/>
    <col min="14" max="14" width="7.421875" style="0" customWidth="1"/>
    <col min="15" max="15" width="6.7109375" style="0" customWidth="1"/>
    <col min="18" max="18" width="7.7109375" style="0" bestFit="1" customWidth="1"/>
    <col min="21" max="21" width="7.7109375" style="0" bestFit="1" customWidth="1"/>
    <col min="42" max="42" width="6.8515625" style="0" bestFit="1" customWidth="1"/>
    <col min="44" max="44" width="7.421875" style="0" bestFit="1" customWidth="1"/>
    <col min="45" max="47" width="6.8515625" style="0" bestFit="1" customWidth="1"/>
    <col min="52" max="52" width="6.8515625" style="0" bestFit="1" customWidth="1"/>
  </cols>
  <sheetData>
    <row r="2" spans="2:16" ht="21">
      <c r="B2" s="376" t="s">
        <v>173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ht="21">
      <c r="B3" s="135" t="s">
        <v>175</v>
      </c>
    </row>
    <row r="5" spans="2:54" ht="15.75">
      <c r="B5" s="133" t="s">
        <v>357</v>
      </c>
      <c r="K5" s="132" t="s">
        <v>177</v>
      </c>
      <c r="AN5" s="391"/>
      <c r="AO5" s="391"/>
      <c r="AP5" s="391"/>
      <c r="AQ5" s="391"/>
      <c r="AR5" s="391"/>
      <c r="AS5" s="391"/>
      <c r="AT5" s="391"/>
      <c r="AU5" s="391"/>
      <c r="AV5" s="392" t="s">
        <v>384</v>
      </c>
      <c r="AW5" s="391"/>
      <c r="AX5" s="391"/>
      <c r="AY5" s="391"/>
      <c r="AZ5" s="391"/>
      <c r="BA5" s="391"/>
      <c r="BB5" s="391"/>
    </row>
    <row r="6" spans="2:54" ht="15"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AN6" s="391"/>
      <c r="AO6" s="391"/>
      <c r="AP6" s="391"/>
      <c r="AQ6" s="391"/>
      <c r="AR6" s="391" t="s">
        <v>319</v>
      </c>
      <c r="AS6" s="391" t="s">
        <v>372</v>
      </c>
      <c r="AT6" s="391" t="s">
        <v>373</v>
      </c>
      <c r="AU6" s="392" t="s">
        <v>375</v>
      </c>
      <c r="AV6" s="392" t="s">
        <v>369</v>
      </c>
      <c r="AW6" s="392" t="s">
        <v>383</v>
      </c>
      <c r="AX6" s="391"/>
      <c r="AY6" s="391"/>
      <c r="AZ6" s="391" t="s">
        <v>410</v>
      </c>
      <c r="BA6" s="391"/>
      <c r="BB6" s="391"/>
    </row>
    <row r="7" spans="2:54" ht="15">
      <c r="B7" s="152" t="s">
        <v>318</v>
      </c>
      <c r="C7" s="152"/>
      <c r="D7" s="152"/>
      <c r="E7" s="380" t="s">
        <v>316</v>
      </c>
      <c r="F7" s="382"/>
      <c r="G7" s="152"/>
      <c r="H7" s="161"/>
      <c r="I7" s="152"/>
      <c r="J7" s="152"/>
      <c r="K7" s="152" t="s">
        <v>399</v>
      </c>
      <c r="L7" s="152"/>
      <c r="M7" s="152"/>
      <c r="N7" s="152"/>
      <c r="O7" s="152"/>
      <c r="P7" s="152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N7" s="391"/>
      <c r="AO7" s="391" t="s">
        <v>316</v>
      </c>
      <c r="AP7" s="392"/>
      <c r="AQ7" s="391"/>
      <c r="AR7" s="391">
        <f>(H10/600)*180*(E8^2.6)</f>
        <v>28348.32539449546</v>
      </c>
      <c r="AS7" s="391">
        <f>IF(OR(O9&gt;=500,E8&gt;6,O10&lt;MAX(7*E8,((13*E8)-30)*O9/400)),0.082*(1-(0.01*E8))*O9,0.082*O9*(E8^-0.3))</f>
        <v>22.115399999999998</v>
      </c>
      <c r="AT7" s="391">
        <f>IF(OR(O15&gt;=500,E8&gt;6,O16&lt;MAX(7*E8,((13*E8)-30)*O15/400)),0.082*(1-(0.01*E8))*O15,0.082*O15*(E8^-0.3))</f>
        <v>26.691</v>
      </c>
      <c r="AU7" s="391">
        <f>AT7/AS7</f>
        <v>1.2068965517241381</v>
      </c>
      <c r="AV7" s="391" t="str">
        <f>IF(OR(O9&gt;=500,E8&gt;6,O10&lt;MAX(7*E8,((13*E8)-30)*O9/400)),"pretaladro","sin pretaladro")</f>
        <v>pretaladro</v>
      </c>
      <c r="AW7" s="391" t="str">
        <f>IF(OR(O15&gt;=500,E8&gt;6,O16&lt;MAX(7*E8,((13*E8)-30)*O15/400)),"pretaladro","sin pretaladro")</f>
        <v>pretaladro</v>
      </c>
      <c r="AX7" s="391"/>
      <c r="AY7" s="391"/>
      <c r="AZ7" s="391">
        <f>0.75*E8</f>
        <v>5.25</v>
      </c>
      <c r="BA7" s="391"/>
      <c r="BB7" s="391"/>
    </row>
    <row r="8" spans="2:54" ht="15">
      <c r="B8" s="152" t="s">
        <v>374</v>
      </c>
      <c r="C8" s="152"/>
      <c r="D8" s="152"/>
      <c r="E8" s="380">
        <v>7</v>
      </c>
      <c r="F8" s="382"/>
      <c r="G8" s="152"/>
      <c r="H8" s="161"/>
      <c r="I8" s="152"/>
      <c r="J8" s="152"/>
      <c r="K8" s="152" t="s">
        <v>91</v>
      </c>
      <c r="L8" s="152"/>
      <c r="M8" s="152"/>
      <c r="N8" s="152"/>
      <c r="O8" s="387" t="s">
        <v>8</v>
      </c>
      <c r="P8" s="152"/>
      <c r="U8" s="97"/>
      <c r="V8" s="146"/>
      <c r="W8" s="146"/>
      <c r="X8" s="146"/>
      <c r="Y8" s="145"/>
      <c r="Z8" s="145"/>
      <c r="AA8" s="147"/>
      <c r="AB8" s="147"/>
      <c r="AC8" s="147"/>
      <c r="AD8" s="147"/>
      <c r="AE8" s="147"/>
      <c r="AF8" s="147"/>
      <c r="AG8" s="147"/>
      <c r="AH8" s="147"/>
      <c r="AI8" s="147"/>
      <c r="AN8" s="391"/>
      <c r="AO8" s="391" t="s">
        <v>317</v>
      </c>
      <c r="AP8" s="391"/>
      <c r="AQ8" s="391"/>
      <c r="AR8" s="391">
        <f>(H10/600)*270*(E8^2.6)</f>
        <v>42522.48809174319</v>
      </c>
      <c r="AS8" s="391">
        <f>IF(OR(O9&gt;=500,E8&gt;6,O10&lt;MAX(7*E8,((13*E8)-30)*O9/400)),0.082*(1-(0.01*E8))*O9,0.082*O9*(E8^-0.3))</f>
        <v>22.115399999999998</v>
      </c>
      <c r="AT8" s="391">
        <f>IF(OR(O15&gt;=500,E8&gt;6,O16&lt;MAX(7*E8,((13*E8)-30)*O15/400)),0.082*(1-(0.01*E8))*O15,0.082*O15*(E8^-0.3))</f>
        <v>26.691</v>
      </c>
      <c r="AU8" s="391">
        <f>AT8/AS8</f>
        <v>1.2068965517241381</v>
      </c>
      <c r="AV8" s="391" t="str">
        <f>IF(OR(O9&gt;=500,E8&gt;6,O10&lt;MAX(7*E8,((13*E8)-30)*O9/400)),"pretaladro","sin pretaladro")</f>
        <v>pretaladro</v>
      </c>
      <c r="AW8" s="391" t="str">
        <f>IF(OR(O15&gt;=500,E8&gt;6,O16&lt;MAX(7*E8,((13*E8)-30)*O15/400)),"pretaladro","sin pretaladro")</f>
        <v>pretaladro</v>
      </c>
      <c r="AX8" s="391"/>
      <c r="AY8" s="391"/>
      <c r="AZ8" s="391">
        <f>0.75*E8</f>
        <v>5.25</v>
      </c>
      <c r="BA8" s="391"/>
      <c r="BB8" s="391"/>
    </row>
    <row r="9" spans="2:54" ht="18.75" customHeight="1">
      <c r="B9" s="152"/>
      <c r="C9" s="152"/>
      <c r="D9" s="152"/>
      <c r="E9" s="152"/>
      <c r="F9" s="152"/>
      <c r="G9" s="152"/>
      <c r="H9" s="161"/>
      <c r="I9" s="152"/>
      <c r="J9" s="152"/>
      <c r="K9" s="153" t="s">
        <v>178</v>
      </c>
      <c r="L9" s="152"/>
      <c r="M9" s="152"/>
      <c r="N9" s="152"/>
      <c r="O9" s="152">
        <f>HLOOKUP(O8,'Propiedades_bases cálculo'!C9:AD24,10,FALSE)</f>
        <v>290</v>
      </c>
      <c r="P9" s="152"/>
      <c r="U9" s="97"/>
      <c r="V9" s="146"/>
      <c r="W9" s="146"/>
      <c r="X9" s="146"/>
      <c r="Y9" s="145"/>
      <c r="Z9" s="145"/>
      <c r="AA9" s="147"/>
      <c r="AB9" s="147"/>
      <c r="AC9" s="147"/>
      <c r="AD9" s="147"/>
      <c r="AE9" s="147"/>
      <c r="AF9" s="147"/>
      <c r="AG9" s="145"/>
      <c r="AH9" s="145"/>
      <c r="AI9" s="145"/>
      <c r="AN9" s="391"/>
      <c r="AO9" s="391" t="s">
        <v>371</v>
      </c>
      <c r="AP9" s="391"/>
      <c r="AQ9" s="391"/>
      <c r="AR9" s="391">
        <f>(H10/600)*180*(E8^2.6)</f>
        <v>28348.32539449546</v>
      </c>
      <c r="AS9" s="391">
        <f>IF(OR(O9&lt;=460,E8&lt;6,),0.082*O9*E8^(-0.3),0.082*(1-(0.01*E8))*O9)</f>
        <v>13.264242045711192</v>
      </c>
      <c r="AT9" s="391">
        <f>IF(OR(O15&lt;=460,E8&lt;6,),0.082*O15*E8^(-0.3),0.082*(1-(0.01*E8))*O15)</f>
        <v>16.008567986203165</v>
      </c>
      <c r="AU9" s="391">
        <f>AT9/AS9</f>
        <v>1.2068965517241381</v>
      </c>
      <c r="AV9" s="393" t="str">
        <f>IF(AND(O9&lt;=460,E8&lt;6),"sin pretaladro","pretaladro")</f>
        <v>pretaladro</v>
      </c>
      <c r="AW9" s="391" t="str">
        <f>IF(AND(O15&lt;=460,E8&lt;6),"sin pretaladro","pretaladro")</f>
        <v>pretaladro</v>
      </c>
      <c r="AX9" s="391"/>
      <c r="AY9" s="391"/>
      <c r="AZ9" s="391">
        <f>E8</f>
        <v>7</v>
      </c>
      <c r="BA9" s="391"/>
      <c r="BB9" s="391"/>
    </row>
    <row r="10" spans="2:54" ht="18">
      <c r="B10" s="152" t="s">
        <v>197</v>
      </c>
      <c r="C10" s="152"/>
      <c r="D10" s="152"/>
      <c r="E10" s="152"/>
      <c r="F10" s="152"/>
      <c r="G10" s="152"/>
      <c r="H10" s="386">
        <v>600</v>
      </c>
      <c r="I10" s="152"/>
      <c r="J10" s="152"/>
      <c r="K10" s="153" t="s">
        <v>179</v>
      </c>
      <c r="L10" s="152"/>
      <c r="M10" s="152"/>
      <c r="N10" s="152"/>
      <c r="O10" s="386">
        <v>150</v>
      </c>
      <c r="P10" s="152"/>
      <c r="U10" s="97"/>
      <c r="V10" s="146"/>
      <c r="W10" s="146"/>
      <c r="X10" s="146"/>
      <c r="Y10" s="145"/>
      <c r="Z10" s="145"/>
      <c r="AA10" s="147"/>
      <c r="AB10" s="147"/>
      <c r="AC10" s="147"/>
      <c r="AD10" s="147"/>
      <c r="AE10" s="147"/>
      <c r="AF10" s="147"/>
      <c r="AG10" s="145"/>
      <c r="AH10" s="145"/>
      <c r="AI10" s="145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</row>
    <row r="11" spans="2:54" ht="15">
      <c r="B11" s="152"/>
      <c r="C11" s="152"/>
      <c r="D11" s="152"/>
      <c r="E11" s="152"/>
      <c r="F11" s="152"/>
      <c r="G11" s="152"/>
      <c r="H11" s="152"/>
      <c r="I11" s="152"/>
      <c r="J11" s="152"/>
      <c r="K11" s="153" t="s">
        <v>200</v>
      </c>
      <c r="L11" s="152"/>
      <c r="M11" s="152"/>
      <c r="N11" s="152"/>
      <c r="O11" s="388">
        <v>30</v>
      </c>
      <c r="P11" s="152"/>
      <c r="U11" s="169" t="s">
        <v>415</v>
      </c>
      <c r="V11" s="145"/>
      <c r="W11" s="145"/>
      <c r="X11" s="145"/>
      <c r="Y11" s="145"/>
      <c r="Z11" s="145"/>
      <c r="AA11" s="146"/>
      <c r="AB11" s="146"/>
      <c r="AC11" s="146"/>
      <c r="AD11" s="145"/>
      <c r="AE11" s="145"/>
      <c r="AF11" s="145"/>
      <c r="AH11" s="145"/>
      <c r="AI11" s="145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</row>
    <row r="12" spans="2:54" ht="18">
      <c r="B12" s="152" t="s">
        <v>174</v>
      </c>
      <c r="C12" s="152"/>
      <c r="D12" s="152"/>
      <c r="E12" s="152"/>
      <c r="F12" s="161">
        <f>VLOOKUP(E7,AO7:AU9,4,FALSE)</f>
        <v>28348.32539449546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U12" s="97"/>
      <c r="X12" s="145"/>
      <c r="Z12" s="145"/>
      <c r="AB12" s="146"/>
      <c r="AC12" s="146"/>
      <c r="AD12" s="145"/>
      <c r="AE12" s="145"/>
      <c r="AF12" s="145"/>
      <c r="AG12" s="145"/>
      <c r="AH12" s="145"/>
      <c r="AI12" s="145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</row>
    <row r="13" spans="2:54" ht="15">
      <c r="B13" s="152"/>
      <c r="C13" s="152"/>
      <c r="D13" s="152"/>
      <c r="E13" s="154"/>
      <c r="F13" s="152"/>
      <c r="G13" s="152"/>
      <c r="H13" s="152"/>
      <c r="I13" s="152"/>
      <c r="J13" s="152"/>
      <c r="K13" s="152" t="s">
        <v>400</v>
      </c>
      <c r="L13" s="152"/>
      <c r="M13" s="152"/>
      <c r="N13" s="152"/>
      <c r="O13" s="152"/>
      <c r="P13" s="152"/>
      <c r="S13" s="37"/>
      <c r="U13" s="9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N13" s="391"/>
      <c r="AO13" s="391"/>
      <c r="AP13" s="391" t="s">
        <v>381</v>
      </c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</row>
    <row r="14" spans="2:54" ht="18">
      <c r="B14" s="152" t="s">
        <v>176</v>
      </c>
      <c r="C14" s="152"/>
      <c r="D14" s="152"/>
      <c r="E14" s="154"/>
      <c r="F14" s="152"/>
      <c r="G14" s="366"/>
      <c r="H14" s="366"/>
      <c r="I14" s="152"/>
      <c r="J14" s="152"/>
      <c r="K14" s="152" t="s">
        <v>91</v>
      </c>
      <c r="L14" s="152"/>
      <c r="M14" s="152"/>
      <c r="N14" s="152"/>
      <c r="O14" s="387" t="s">
        <v>13</v>
      </c>
      <c r="P14" s="152"/>
      <c r="U14" s="9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N14" s="391"/>
      <c r="AO14" s="391" t="s">
        <v>369</v>
      </c>
      <c r="AP14" s="392" t="s">
        <v>424</v>
      </c>
      <c r="AQ14" s="391"/>
      <c r="AR14" s="392" t="s">
        <v>380</v>
      </c>
      <c r="AS14" s="391"/>
      <c r="AT14" s="391"/>
      <c r="AU14" s="391" t="s">
        <v>382</v>
      </c>
      <c r="AV14" s="391"/>
      <c r="AW14" s="391"/>
      <c r="AX14" s="391"/>
      <c r="AY14" s="391"/>
      <c r="AZ14" s="391"/>
      <c r="BA14" s="391"/>
      <c r="BB14" s="391"/>
    </row>
    <row r="15" spans="2:54" ht="18">
      <c r="B15" s="155" t="s">
        <v>379</v>
      </c>
      <c r="C15" s="366">
        <f>VLOOKUP(E7,AO7:AU9,5,FALSE)</f>
        <v>22.115399999999998</v>
      </c>
      <c r="D15" s="366"/>
      <c r="E15" s="154"/>
      <c r="F15" s="152"/>
      <c r="G15" s="152"/>
      <c r="H15" s="152"/>
      <c r="I15" s="152"/>
      <c r="J15" s="152"/>
      <c r="K15" s="152" t="s">
        <v>180</v>
      </c>
      <c r="L15" s="152"/>
      <c r="M15" s="152"/>
      <c r="N15" s="152"/>
      <c r="O15" s="152">
        <f>HLOOKUP(O14,'Propiedades_bases cálculo'!C9:AD24,10,FALSE)</f>
        <v>350</v>
      </c>
      <c r="P15" s="152"/>
      <c r="U15" s="9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N15" s="391"/>
      <c r="AO15" s="391" t="s">
        <v>363</v>
      </c>
      <c r="AP15" s="391">
        <f>IF(E8&lt;5,(5+5*ABS(COS(RADIANS(O11))))*E8,(5+7*ABS(COS(RADIANS(O11))))*E8)</f>
        <v>77.4352447854375</v>
      </c>
      <c r="AQ15" s="391"/>
      <c r="AR15" s="391">
        <f>(7+(8*ABS(COS(RADIANS(O11)))))*E8</f>
        <v>97.49742261192857</v>
      </c>
      <c r="AS15" s="391"/>
      <c r="AT15" s="391"/>
      <c r="AU15" s="391">
        <f>(4+COS(RADIANS(O11)))*E8</f>
        <v>34.062177826491066</v>
      </c>
      <c r="AV15" s="391"/>
      <c r="AW15" s="391"/>
      <c r="AX15" s="391"/>
      <c r="AY15" s="391"/>
      <c r="AZ15" s="391"/>
      <c r="BA15" s="391"/>
      <c r="BB15" s="391"/>
    </row>
    <row r="16" spans="2:54" ht="18">
      <c r="B16" s="155" t="s">
        <v>378</v>
      </c>
      <c r="C16" s="366">
        <f>VLOOKUP(E7,AO7:AT9,6,FALSE)</f>
        <v>26.691</v>
      </c>
      <c r="D16" s="366"/>
      <c r="E16" s="152"/>
      <c r="F16" s="152"/>
      <c r="G16" s="152"/>
      <c r="H16" s="152"/>
      <c r="I16" s="152"/>
      <c r="J16" s="152"/>
      <c r="K16" s="152" t="s">
        <v>181</v>
      </c>
      <c r="L16" s="152"/>
      <c r="M16" s="152"/>
      <c r="N16" s="152"/>
      <c r="O16" s="386">
        <v>150</v>
      </c>
      <c r="P16" s="152"/>
      <c r="U16" s="97"/>
      <c r="V16" s="145"/>
      <c r="W16" s="145"/>
      <c r="X16" s="145"/>
      <c r="Y16" s="145"/>
      <c r="Z16" s="145"/>
      <c r="AA16" s="146"/>
      <c r="AB16" s="146"/>
      <c r="AC16" s="146"/>
      <c r="AD16" s="146"/>
      <c r="AE16" s="146"/>
      <c r="AF16" s="146"/>
      <c r="AG16" s="146"/>
      <c r="AH16" s="146"/>
      <c r="AI16" s="146"/>
      <c r="AN16" s="391"/>
      <c r="AO16" s="391" t="s">
        <v>364</v>
      </c>
      <c r="AP16" s="391">
        <f>5*E8</f>
        <v>35</v>
      </c>
      <c r="AQ16" s="391"/>
      <c r="AR16" s="391">
        <f>7*E8</f>
        <v>49</v>
      </c>
      <c r="AS16" s="391"/>
      <c r="AT16" s="391"/>
      <c r="AU16" s="391">
        <f>(3+ABS(SIN(RADIANS(O11))))*E8</f>
        <v>24.5</v>
      </c>
      <c r="AV16" s="391"/>
      <c r="AW16" s="391"/>
      <c r="AX16" s="391"/>
      <c r="AY16" s="391"/>
      <c r="AZ16" s="391"/>
      <c r="BA16" s="391"/>
      <c r="BB16" s="391"/>
    </row>
    <row r="17" spans="2:54" ht="15">
      <c r="B17" s="152"/>
      <c r="C17" s="152"/>
      <c r="D17" s="152"/>
      <c r="E17" s="152"/>
      <c r="F17" s="152"/>
      <c r="G17" s="152"/>
      <c r="H17" s="152"/>
      <c r="I17" s="152"/>
      <c r="J17" s="152"/>
      <c r="K17" s="153" t="s">
        <v>200</v>
      </c>
      <c r="L17" s="152"/>
      <c r="M17" s="152"/>
      <c r="N17" s="152"/>
      <c r="O17" s="386">
        <v>45</v>
      </c>
      <c r="P17" s="152"/>
      <c r="U17" s="97"/>
      <c r="V17" s="145"/>
      <c r="W17" s="145"/>
      <c r="X17" s="145"/>
      <c r="Y17" s="145"/>
      <c r="Z17" s="145"/>
      <c r="AA17" s="146"/>
      <c r="AB17" s="146"/>
      <c r="AC17" s="146"/>
      <c r="AD17" s="146"/>
      <c r="AE17" s="146"/>
      <c r="AF17" s="146"/>
      <c r="AG17" s="146"/>
      <c r="AH17" s="146"/>
      <c r="AI17" s="146"/>
      <c r="AN17" s="391"/>
      <c r="AO17" s="391" t="s">
        <v>365</v>
      </c>
      <c r="AP17" s="391">
        <f>(10+5*COS(RADIANS(O11)))*E8</f>
        <v>100.31088913245536</v>
      </c>
      <c r="AQ17" s="391"/>
      <c r="AR17" s="391">
        <f>(15+(5*COS(RADIANS(O11))))*E8</f>
        <v>135.31088913245537</v>
      </c>
      <c r="AS17" s="391"/>
      <c r="AT17" s="391"/>
      <c r="AU17" s="391">
        <f>(7+(5*COS(RADIANS(O11))))*E8</f>
        <v>79.31088913245536</v>
      </c>
      <c r="AV17" s="391"/>
      <c r="AW17" s="391"/>
      <c r="AX17" s="391"/>
      <c r="AY17" s="391"/>
      <c r="AZ17" s="391"/>
      <c r="BA17" s="391"/>
      <c r="BB17" s="391"/>
    </row>
    <row r="18" spans="2:54" ht="15">
      <c r="B18" s="156" t="s">
        <v>376</v>
      </c>
      <c r="C18" s="152">
        <f>VLOOKUP(E7,AO7:AU9,7,FALSE)</f>
        <v>1.2068965517241381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U18" s="97"/>
      <c r="V18" s="145"/>
      <c r="W18" s="145"/>
      <c r="X18" s="145"/>
      <c r="Y18" s="145"/>
      <c r="Z18" s="145"/>
      <c r="AA18" s="147"/>
      <c r="AB18" s="147"/>
      <c r="AC18" s="147"/>
      <c r="AD18" s="147"/>
      <c r="AE18" s="147"/>
      <c r="AF18" s="147"/>
      <c r="AG18" s="147"/>
      <c r="AH18" s="147"/>
      <c r="AI18" s="147"/>
      <c r="AN18" s="391"/>
      <c r="AO18" s="391" t="s">
        <v>366</v>
      </c>
      <c r="AP18" s="391">
        <f>10*E8</f>
        <v>70</v>
      </c>
      <c r="AQ18" s="391"/>
      <c r="AR18" s="391">
        <f>15*E8</f>
        <v>105</v>
      </c>
      <c r="AS18" s="391"/>
      <c r="AT18" s="391"/>
      <c r="AU18" s="391">
        <f>7*E8</f>
        <v>49</v>
      </c>
      <c r="AV18" s="391"/>
      <c r="AW18" s="391"/>
      <c r="AX18" s="391"/>
      <c r="AY18" s="391"/>
      <c r="AZ18" s="391"/>
      <c r="BA18" s="391"/>
      <c r="BB18" s="391"/>
    </row>
    <row r="19" spans="2:54" ht="18">
      <c r="B19" s="152"/>
      <c r="C19" s="152"/>
      <c r="D19" s="152"/>
      <c r="E19" s="152"/>
      <c r="F19" s="152"/>
      <c r="G19" s="152"/>
      <c r="H19" s="152"/>
      <c r="I19" s="152"/>
      <c r="J19" s="152"/>
      <c r="K19" s="155" t="s">
        <v>421</v>
      </c>
      <c r="L19" s="152"/>
      <c r="M19" s="152"/>
      <c r="N19" s="152"/>
      <c r="O19" s="386">
        <v>10000</v>
      </c>
      <c r="P19" s="152"/>
      <c r="R19" t="s">
        <v>283</v>
      </c>
      <c r="U19" t="s">
        <v>284</v>
      </c>
      <c r="V19" s="97"/>
      <c r="W19" s="97"/>
      <c r="X19" t="s">
        <v>285</v>
      </c>
      <c r="Y19" s="97"/>
      <c r="Z19" s="97"/>
      <c r="AA19" t="s">
        <v>286</v>
      </c>
      <c r="AB19" s="97"/>
      <c r="AC19" s="97"/>
      <c r="AD19" s="97"/>
      <c r="AE19" s="97"/>
      <c r="AF19" s="97"/>
      <c r="AG19" s="97"/>
      <c r="AH19" s="97"/>
      <c r="AI19" s="97"/>
      <c r="AN19" s="391"/>
      <c r="AO19" s="391" t="s">
        <v>367</v>
      </c>
      <c r="AP19" s="391">
        <f>IF(E8&lt;5,(5+2*SIN(RADIANS(O11)))*E8,(5+5*SIN(RADIANS(O11)))*E8)</f>
        <v>52.5</v>
      </c>
      <c r="AQ19" s="391"/>
      <c r="AR19" s="391">
        <f>IF(E8&lt;5,(7+(2*SIN(RADIANS(O11))))*E8,(7+(5*SIN(RADIANS(O11))))*E8)</f>
        <v>66.5</v>
      </c>
      <c r="AS19" s="391"/>
      <c r="AT19" s="391"/>
      <c r="AU19" s="391">
        <f>IF(E8&lt;5,(3+(2*SIN(RADIANS(O11))))*E8,(3+(4*SIN(RADIANS(O11))))*E8)</f>
        <v>35</v>
      </c>
      <c r="AV19" s="391"/>
      <c r="AW19" s="391"/>
      <c r="AX19" s="391"/>
      <c r="AY19" s="391"/>
      <c r="AZ19" s="391"/>
      <c r="BA19" s="391"/>
      <c r="BB19" s="391"/>
    </row>
    <row r="20" spans="2:54" ht="15">
      <c r="B20" s="152"/>
      <c r="C20" s="152"/>
      <c r="D20" s="152"/>
      <c r="E20" s="156"/>
      <c r="F20" s="157"/>
      <c r="G20" s="152"/>
      <c r="H20" s="152"/>
      <c r="I20" s="152"/>
      <c r="J20" s="152"/>
      <c r="K20" s="152" t="s">
        <v>203</v>
      </c>
      <c r="L20" s="152"/>
      <c r="M20" s="152"/>
      <c r="N20" s="152"/>
      <c r="O20" s="386">
        <v>1</v>
      </c>
      <c r="P20" s="152"/>
      <c r="U20" s="170" t="s">
        <v>416</v>
      </c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N20" s="391"/>
      <c r="AO20" s="391" t="s">
        <v>368</v>
      </c>
      <c r="AP20" s="391">
        <f>3*E8</f>
        <v>21</v>
      </c>
      <c r="AQ20" s="391"/>
      <c r="AR20" s="391">
        <f>7*E8</f>
        <v>49</v>
      </c>
      <c r="AS20" s="391"/>
      <c r="AT20" s="391"/>
      <c r="AU20" s="391">
        <f>3*E8</f>
        <v>21</v>
      </c>
      <c r="AV20" s="391"/>
      <c r="AW20" s="391"/>
      <c r="AX20" s="391"/>
      <c r="AY20" s="391"/>
      <c r="AZ20" s="391"/>
      <c r="BA20" s="391"/>
      <c r="BB20" s="391"/>
    </row>
    <row r="21" spans="2:54" ht="15">
      <c r="B21" s="152"/>
      <c r="C21" s="152"/>
      <c r="D21" s="152"/>
      <c r="E21" s="152"/>
      <c r="F21" s="152"/>
      <c r="G21" s="152"/>
      <c r="H21" s="152"/>
      <c r="I21" s="152"/>
      <c r="J21" s="152"/>
      <c r="K21" s="153" t="s">
        <v>204</v>
      </c>
      <c r="L21" s="152"/>
      <c r="M21" s="152"/>
      <c r="N21" s="152"/>
      <c r="O21" s="387" t="s">
        <v>68</v>
      </c>
      <c r="P21" s="152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N21" s="391"/>
      <c r="AO21" s="391"/>
      <c r="AP21" s="391"/>
      <c r="AQ21" s="391"/>
      <c r="AR21" s="391"/>
      <c r="AS21" s="391"/>
      <c r="AT21" s="391"/>
      <c r="AU21" s="391"/>
      <c r="AV21" s="391"/>
      <c r="AW21" s="391"/>
      <c r="AX21" s="391"/>
      <c r="AY21" s="391"/>
      <c r="AZ21" s="391"/>
      <c r="BA21" s="391"/>
      <c r="BB21" s="391"/>
    </row>
    <row r="22" spans="2:54" ht="18">
      <c r="B22" s="152"/>
      <c r="C22" s="152"/>
      <c r="D22" s="152"/>
      <c r="E22" s="152"/>
      <c r="F22" s="152"/>
      <c r="G22" s="152"/>
      <c r="H22" s="152"/>
      <c r="I22" s="152"/>
      <c r="J22" s="152"/>
      <c r="K22" s="155" t="s">
        <v>182</v>
      </c>
      <c r="L22" s="152"/>
      <c r="M22" s="152"/>
      <c r="N22" s="152"/>
      <c r="O22" s="152">
        <f>INDEX('Propiedades_bases cálculo'!B29:G32,MATCH('UNIONES MADERA-MADERA'!O20,'Propiedades_bases cálculo'!B29:B32,0),MATCH('UNIONES MADERA-MADERA'!O21,'Propiedades_bases cálculo'!B29:G29,0))</f>
        <v>0.8</v>
      </c>
      <c r="P22" s="152"/>
      <c r="AN22" s="391"/>
      <c r="AO22" s="391"/>
      <c r="AP22" s="391" t="s">
        <v>381</v>
      </c>
      <c r="AQ22" s="391"/>
      <c r="AR22" s="391"/>
      <c r="AS22" s="391"/>
      <c r="AT22" s="391"/>
      <c r="AU22" s="391"/>
      <c r="AV22" s="391"/>
      <c r="AW22" s="391"/>
      <c r="AX22" s="391"/>
      <c r="AY22" s="391"/>
      <c r="AZ22" s="391"/>
      <c r="BA22" s="391"/>
      <c r="BB22" s="391"/>
    </row>
    <row r="23" spans="2:54" ht="20.25">
      <c r="B23" s="152"/>
      <c r="C23" s="152"/>
      <c r="D23" s="152"/>
      <c r="E23" s="156"/>
      <c r="F23" s="157"/>
      <c r="G23" s="152"/>
      <c r="H23" s="152"/>
      <c r="I23" s="152"/>
      <c r="J23" s="152"/>
      <c r="K23" s="158" t="s">
        <v>205</v>
      </c>
      <c r="L23" s="152"/>
      <c r="M23" s="152"/>
      <c r="N23" s="152"/>
      <c r="O23" s="152">
        <v>1.3</v>
      </c>
      <c r="P23" s="152"/>
      <c r="S23" s="174" t="s">
        <v>385</v>
      </c>
      <c r="T23" s="174" t="s">
        <v>386</v>
      </c>
      <c r="U23" s="174" t="s">
        <v>387</v>
      </c>
      <c r="V23" s="174" t="s">
        <v>388</v>
      </c>
      <c r="W23" s="174" t="s">
        <v>389</v>
      </c>
      <c r="X23" s="174" t="s">
        <v>390</v>
      </c>
      <c r="AC23" s="1" t="s">
        <v>411</v>
      </c>
      <c r="AN23" s="391"/>
      <c r="AO23" s="391" t="s">
        <v>383</v>
      </c>
      <c r="AP23" s="391" t="s">
        <v>370</v>
      </c>
      <c r="AQ23" s="391"/>
      <c r="AR23" s="391" t="s">
        <v>380</v>
      </c>
      <c r="AS23" s="391"/>
      <c r="AT23" s="391"/>
      <c r="AU23" s="391" t="s">
        <v>382</v>
      </c>
      <c r="AV23" s="391"/>
      <c r="AW23" s="391"/>
      <c r="AX23" s="391"/>
      <c r="AY23" s="391"/>
      <c r="AZ23" s="391"/>
      <c r="BA23" s="391"/>
      <c r="BB23" s="391"/>
    </row>
    <row r="24" spans="2:54" ht="15"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R24" s="155" t="s">
        <v>369</v>
      </c>
      <c r="S24" s="171">
        <f>IF(Z24="sin pretaladro",IF(O9&lt;=420,AP15,AR15),AU15)</f>
        <v>34.062177826491066</v>
      </c>
      <c r="T24" s="171">
        <f>IF(Z24="sin pretaladro",IF(O9&lt;=420,AP16,AR16),AU16)</f>
        <v>24.5</v>
      </c>
      <c r="U24" s="171">
        <f>IF(Z24="sin pretaladro",IF(O9&lt;=420,AP17,AR17),AU17)</f>
        <v>79.31088913245536</v>
      </c>
      <c r="V24" s="171">
        <f>IF(Z24="sin pretaladro",IF(O9&lt;=420,AP18,AR18),AU18)</f>
        <v>49</v>
      </c>
      <c r="W24" s="171">
        <f>IF(Z24="sin pretaladro",IF(O9&lt;=420,AP19,AR19),AU19)</f>
        <v>35</v>
      </c>
      <c r="X24" s="171">
        <f>IF(Z24="sin pretaladro",IF(O9&lt;=420,AP20,AR20),AU20)</f>
        <v>21</v>
      </c>
      <c r="Y24" s="160" t="s">
        <v>369</v>
      </c>
      <c r="Z24" t="str">
        <f>VLOOKUP(E7,AO7:AW9,8,FALSE)</f>
        <v>pretaladro</v>
      </c>
      <c r="AC24" s="180">
        <f>IF(Z24="pretaladro",VLOOKUP(E7,AO7:AZ9,12,FALSE),"-")</f>
        <v>5.25</v>
      </c>
      <c r="AD24" t="s">
        <v>412</v>
      </c>
      <c r="AN24" s="391"/>
      <c r="AO24" s="391" t="s">
        <v>363</v>
      </c>
      <c r="AP24" s="391">
        <f>IF(E8&lt;5,(5+5*ABS(COS(RADIANS(O17))))*E8,(5+7*ABS(COS(RADIANS(O17))))*E8)</f>
        <v>69.64823227814084</v>
      </c>
      <c r="AQ24" s="391"/>
      <c r="AR24" s="391">
        <f>(7+(8*ABS(COS(RADIANS(O17)))))*E8</f>
        <v>88.59797974644665</v>
      </c>
      <c r="AS24" s="391"/>
      <c r="AT24" s="391"/>
      <c r="AU24" s="391">
        <f>(4+COS(RADIANS(O17)))*E8</f>
        <v>32.94974746830584</v>
      </c>
      <c r="AV24" s="391"/>
      <c r="AW24" s="391"/>
      <c r="AX24" s="391"/>
      <c r="AY24" s="391"/>
      <c r="AZ24" s="391"/>
      <c r="BA24" s="391"/>
      <c r="BB24" s="391"/>
    </row>
    <row r="25" spans="2:54" ht="15">
      <c r="B25" s="152"/>
      <c r="C25" s="152"/>
      <c r="D25" s="152"/>
      <c r="E25" s="152"/>
      <c r="F25" s="152"/>
      <c r="G25" s="152"/>
      <c r="H25" s="152"/>
      <c r="I25" s="152"/>
      <c r="J25" s="152"/>
      <c r="K25" s="158"/>
      <c r="L25" s="152"/>
      <c r="M25" s="152"/>
      <c r="N25" s="152"/>
      <c r="O25" s="152"/>
      <c r="P25" s="152"/>
      <c r="R25" s="173" t="s">
        <v>383</v>
      </c>
      <c r="S25" s="172">
        <f>IF(Z25="sin pretaladro",IF(O15&lt;=420,AP24,AR24),AU24)</f>
        <v>32.94974746830584</v>
      </c>
      <c r="T25" s="172">
        <f>IF(Z25="sin pretaladro",IF(O15&lt;=420,AP25,AR25),AU25)</f>
        <v>25.949747468305834</v>
      </c>
      <c r="U25" s="172">
        <f>IF(Z25="sin pretaladro",IF(O15&lt;=420,AP26,AR26),AU26)</f>
        <v>73.74873734152916</v>
      </c>
      <c r="V25" s="172">
        <f>IF(Z25="sin pretaladro",IF(O15&lt;=420,AP27,AR27),AU27)</f>
        <v>49</v>
      </c>
      <c r="W25" s="172">
        <f>IF(Z25="sin pretaladro",IF(O15&lt;=420,AP28,AR28),AU28)</f>
        <v>40.79898987322333</v>
      </c>
      <c r="X25" s="172">
        <f>IF(Z25="sin pretaladro",IF(O15&lt;=420,AP29,AR29),AU29)</f>
        <v>21</v>
      </c>
      <c r="Y25" s="179" t="s">
        <v>383</v>
      </c>
      <c r="Z25" t="str">
        <f>VLOOKUP(E7,AO7:AW9,9,FALSE)</f>
        <v>pretaladro</v>
      </c>
      <c r="AC25" s="183">
        <f>IF(Z25="pretaladro",VLOOKUP(E7,AO7:AZ9,12,FALSE),"-")</f>
        <v>5.25</v>
      </c>
      <c r="AD25" t="s">
        <v>412</v>
      </c>
      <c r="AN25" s="391"/>
      <c r="AO25" s="391" t="s">
        <v>364</v>
      </c>
      <c r="AP25" s="391">
        <f>5*E8</f>
        <v>35</v>
      </c>
      <c r="AQ25" s="391"/>
      <c r="AR25" s="391">
        <f>7*E8</f>
        <v>49</v>
      </c>
      <c r="AS25" s="391"/>
      <c r="AT25" s="391"/>
      <c r="AU25" s="391">
        <f>(3+ABS(SIN(RADIANS(O17))))*E8</f>
        <v>25.949747468305834</v>
      </c>
      <c r="AV25" s="391"/>
      <c r="AW25" s="391"/>
      <c r="AX25" s="391"/>
      <c r="AY25" s="391"/>
      <c r="AZ25" s="391"/>
      <c r="BA25" s="391"/>
      <c r="BB25" s="391"/>
    </row>
    <row r="26" spans="2:54" ht="15">
      <c r="B26" s="152"/>
      <c r="C26" s="152"/>
      <c r="D26" s="152"/>
      <c r="E26" s="156"/>
      <c r="F26" s="157"/>
      <c r="G26" s="152"/>
      <c r="H26" s="152"/>
      <c r="I26" s="152"/>
      <c r="J26" s="152"/>
      <c r="K26" s="158"/>
      <c r="L26" s="152"/>
      <c r="M26" s="152"/>
      <c r="N26" s="152"/>
      <c r="O26" s="152"/>
      <c r="P26" s="152"/>
      <c r="AN26" s="391"/>
      <c r="AO26" s="391" t="s">
        <v>365</v>
      </c>
      <c r="AP26" s="391">
        <f>(10+5*COS(RADIANS(O17)))*E8</f>
        <v>94.74873734152916</v>
      </c>
      <c r="AQ26" s="391"/>
      <c r="AR26" s="391">
        <f>(15+(5*COS(RADIANS(O17))))*E8</f>
        <v>129.74873734152916</v>
      </c>
      <c r="AS26" s="391"/>
      <c r="AT26" s="391"/>
      <c r="AU26" s="391">
        <f>(7+(5*COS(RADIANS(O17))))*E8</f>
        <v>73.74873734152916</v>
      </c>
      <c r="AV26" s="391"/>
      <c r="AW26" s="391"/>
      <c r="AX26" s="391"/>
      <c r="AY26" s="391"/>
      <c r="AZ26" s="391"/>
      <c r="BA26" s="391"/>
      <c r="BB26" s="391"/>
    </row>
    <row r="27" spans="2:54" ht="15">
      <c r="B27" s="152"/>
      <c r="C27" s="152"/>
      <c r="D27" s="152"/>
      <c r="E27" s="152"/>
      <c r="F27" s="152"/>
      <c r="G27" s="152"/>
      <c r="H27" s="152"/>
      <c r="I27" s="152"/>
      <c r="J27" s="152"/>
      <c r="K27" s="158"/>
      <c r="L27" s="152"/>
      <c r="M27" s="152"/>
      <c r="N27" s="152"/>
      <c r="O27" s="152"/>
      <c r="P27" s="152"/>
      <c r="AN27" s="391"/>
      <c r="AO27" s="391" t="s">
        <v>366</v>
      </c>
      <c r="AP27" s="391">
        <f>10*E8</f>
        <v>70</v>
      </c>
      <c r="AQ27" s="391"/>
      <c r="AR27" s="391">
        <f>15*E8</f>
        <v>105</v>
      </c>
      <c r="AS27" s="391"/>
      <c r="AT27" s="391"/>
      <c r="AU27" s="391">
        <f>7*E8</f>
        <v>49</v>
      </c>
      <c r="AV27" s="391"/>
      <c r="AW27" s="391"/>
      <c r="AX27" s="391"/>
      <c r="AY27" s="391"/>
      <c r="AZ27" s="391"/>
      <c r="BA27" s="391"/>
      <c r="BB27" s="391"/>
    </row>
    <row r="28" spans="40:54" ht="15">
      <c r="AN28" s="391"/>
      <c r="AO28" s="391" t="s">
        <v>367</v>
      </c>
      <c r="AP28" s="391">
        <f>IF(E8&lt;5,(5+2*SIN(RADIANS(O17)))*E8,(5+5*SIN(RADIANS(O17)))*E8)</f>
        <v>59.748737341529164</v>
      </c>
      <c r="AQ28" s="391"/>
      <c r="AR28" s="391">
        <f>IF(E8&lt;5,(7+(2*SIN(RADIANS(O17))))*E8,(7+(5*SIN(RADIANS(O17))))*E8)</f>
        <v>73.74873734152916</v>
      </c>
      <c r="AS28" s="391"/>
      <c r="AT28" s="391"/>
      <c r="AU28" s="391">
        <f>IF(E8&lt;5,(3+(2*SIN(RADIANS(O17))))*E8,(3+(4*SIN(RADIANS(O17))))*E8)</f>
        <v>40.79898987322333</v>
      </c>
      <c r="AV28" s="391"/>
      <c r="AW28" s="391"/>
      <c r="AX28" s="391"/>
      <c r="AY28" s="391"/>
      <c r="AZ28" s="391"/>
      <c r="BA28" s="391"/>
      <c r="BB28" s="391"/>
    </row>
    <row r="29" spans="2:54" ht="18">
      <c r="B29" s="131" t="s">
        <v>216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AN29" s="391"/>
      <c r="AO29" s="391" t="s">
        <v>368</v>
      </c>
      <c r="AP29" s="391">
        <f>3*E8</f>
        <v>21</v>
      </c>
      <c r="AQ29" s="391"/>
      <c r="AR29" s="391">
        <f>7*E8</f>
        <v>49</v>
      </c>
      <c r="AS29" s="391"/>
      <c r="AT29" s="391"/>
      <c r="AU29" s="391">
        <f>3*E8</f>
        <v>21</v>
      </c>
      <c r="AV29" s="391"/>
      <c r="AW29" s="391"/>
      <c r="AX29" s="391"/>
      <c r="AY29" s="391"/>
      <c r="AZ29" s="391"/>
      <c r="BA29" s="391"/>
      <c r="BB29" s="391"/>
    </row>
    <row r="30" spans="2:54" ht="15">
      <c r="B30" t="s">
        <v>201</v>
      </c>
      <c r="AN30" s="391"/>
      <c r="AO30" s="391"/>
      <c r="AP30" s="391"/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391"/>
    </row>
    <row r="31" spans="2:18" ht="18">
      <c r="B31" t="s">
        <v>183</v>
      </c>
      <c r="C31" t="s">
        <v>192</v>
      </c>
      <c r="D31" s="130">
        <f>C15*O10*E8</f>
        <v>23221.17</v>
      </c>
      <c r="K31" s="130"/>
      <c r="R31" s="130"/>
    </row>
    <row r="32" spans="2:18" ht="18">
      <c r="B32" t="s">
        <v>184</v>
      </c>
      <c r="C32" t="s">
        <v>192</v>
      </c>
      <c r="D32" s="130">
        <f>C16*O16*E8</f>
        <v>28025.549999999996</v>
      </c>
      <c r="K32" s="130"/>
      <c r="R32" s="130"/>
    </row>
    <row r="33" spans="2:18" ht="18">
      <c r="B33" t="s">
        <v>185</v>
      </c>
      <c r="C33" t="s">
        <v>192</v>
      </c>
      <c r="D33" s="130">
        <f>(C15*O10*E8/(1+C18))*(((C18+((2*(C18^2))*(1+(O16/O10)+((O16/O10)^2))+(C18^3)*((O16/O10)^2)))^0.5)-(C18*(1+(O16/O10))))</f>
        <v>10599.794176618334</v>
      </c>
      <c r="K33" s="130"/>
      <c r="R33" s="130"/>
    </row>
    <row r="34" spans="2:18" ht="18">
      <c r="B34" t="s">
        <v>186</v>
      </c>
      <c r="C34" t="s">
        <v>192</v>
      </c>
      <c r="D34" s="130">
        <f>(1.05*C15*O10*E8/(2+C18))*((2*C18*(1+C18)+(4.5*C18*(2+C18)*F12)/(C15*E8*O10*O10))^0.5-C18)</f>
        <v>8603.906786185582</v>
      </c>
      <c r="K34" s="130"/>
      <c r="R34" s="130"/>
    </row>
    <row r="35" spans="2:18" ht="18">
      <c r="B35" t="s">
        <v>187</v>
      </c>
      <c r="C35" t="s">
        <v>192</v>
      </c>
      <c r="D35" s="130">
        <f>(1.05*C15*O16*E8/(1+(2*C18)))*((2*C18*C18*(1+C18)+(4.5*C18*(1+(2*C18))*F12)/(C15*E8*O16*O16))^0.5-C18)</f>
        <v>9701.049451629531</v>
      </c>
      <c r="K35" s="130"/>
      <c r="R35" s="130"/>
    </row>
    <row r="36" spans="2:18" ht="18">
      <c r="B36" t="s">
        <v>188</v>
      </c>
      <c r="C36" t="s">
        <v>192</v>
      </c>
      <c r="D36" s="136">
        <f>1.15*(((2*C18)/(1+C18))^0.5)*((2*F12*C15*E8)^0.5)</f>
        <v>3563.132686284259</v>
      </c>
      <c r="K36" s="136"/>
      <c r="R36" s="130"/>
    </row>
    <row r="38" spans="3:18" ht="18">
      <c r="C38" s="1" t="s">
        <v>191</v>
      </c>
      <c r="D38" s="129">
        <f>MIN(D31:D36)</f>
        <v>3563.132686284259</v>
      </c>
      <c r="J38" s="1"/>
      <c r="K38" s="136"/>
      <c r="Q38" s="1"/>
      <c r="R38" s="130"/>
    </row>
    <row r="39" spans="3:17" ht="18">
      <c r="C39" s="1" t="s">
        <v>190</v>
      </c>
      <c r="D39">
        <f>D38*O22/O23</f>
        <v>2192.6970377133903</v>
      </c>
      <c r="J39" s="1"/>
      <c r="K39" s="130"/>
      <c r="Q39" s="1"/>
    </row>
    <row r="40" spans="3:20" ht="15">
      <c r="C40" s="1" t="s">
        <v>202</v>
      </c>
      <c r="F40" s="181">
        <f>O19/D39</f>
        <v>4.560593564913234</v>
      </c>
      <c r="J40" s="1"/>
      <c r="N40" s="137"/>
      <c r="Q40" s="1"/>
      <c r="T40" s="137"/>
    </row>
    <row r="43" spans="2:11" ht="15.75">
      <c r="B43" s="133" t="s">
        <v>358</v>
      </c>
      <c r="K43" s="132" t="s">
        <v>177</v>
      </c>
    </row>
    <row r="44" spans="2:50" ht="15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AO44" s="97"/>
      <c r="AP44" s="97"/>
      <c r="AQ44" s="97"/>
      <c r="AR44" s="97"/>
      <c r="AS44" s="97"/>
      <c r="AT44" s="97"/>
      <c r="AU44" s="97"/>
      <c r="AV44" s="97"/>
      <c r="AW44" s="97"/>
      <c r="AX44" s="97"/>
    </row>
    <row r="45" spans="2:50" ht="15">
      <c r="B45" s="152" t="s">
        <v>195</v>
      </c>
      <c r="C45" s="152"/>
      <c r="D45" s="152"/>
      <c r="E45" s="152"/>
      <c r="F45" s="152"/>
      <c r="G45" s="152"/>
      <c r="H45" s="152"/>
      <c r="I45" s="152"/>
      <c r="J45" s="152"/>
      <c r="K45" s="152" t="s">
        <v>399</v>
      </c>
      <c r="L45" s="152"/>
      <c r="M45" s="152"/>
      <c r="N45" s="152"/>
      <c r="O45" s="152"/>
      <c r="P45" s="152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</row>
    <row r="46" spans="2:50" ht="15">
      <c r="B46" s="152" t="s">
        <v>218</v>
      </c>
      <c r="C46" s="152"/>
      <c r="D46" s="152"/>
      <c r="E46" s="152"/>
      <c r="F46" s="152"/>
      <c r="G46" s="152"/>
      <c r="H46" s="152"/>
      <c r="I46" s="386">
        <v>15</v>
      </c>
      <c r="J46" s="152"/>
      <c r="K46" s="152" t="s">
        <v>91</v>
      </c>
      <c r="L46" s="152"/>
      <c r="M46" s="152"/>
      <c r="N46" s="152"/>
      <c r="O46" s="387" t="s">
        <v>12</v>
      </c>
      <c r="P46" s="152"/>
      <c r="AN46" s="391"/>
      <c r="AO46" s="393"/>
      <c r="AP46" s="393"/>
      <c r="AQ46" s="393"/>
      <c r="AR46" s="393"/>
      <c r="AS46" s="393"/>
      <c r="AT46" s="145"/>
      <c r="AU46" s="145"/>
      <c r="AV46" s="145"/>
      <c r="AW46" s="145"/>
      <c r="AX46" s="145"/>
    </row>
    <row r="47" spans="2:50" ht="18">
      <c r="B47" s="152" t="s">
        <v>196</v>
      </c>
      <c r="C47" s="152"/>
      <c r="D47" s="152"/>
      <c r="E47" s="152"/>
      <c r="F47" s="152"/>
      <c r="G47" s="152"/>
      <c r="H47" s="152"/>
      <c r="I47" s="386">
        <v>240</v>
      </c>
      <c r="J47" s="152"/>
      <c r="K47" s="153" t="s">
        <v>178</v>
      </c>
      <c r="L47" s="152"/>
      <c r="M47" s="152"/>
      <c r="N47" s="152"/>
      <c r="O47" s="152">
        <f>HLOOKUP(O46,'Propiedades_bases cálculo'!C9:AD24,10,FALSE)</f>
        <v>340</v>
      </c>
      <c r="P47" s="152"/>
      <c r="AN47" s="391"/>
      <c r="AO47" s="394"/>
      <c r="AP47" s="394" t="s">
        <v>391</v>
      </c>
      <c r="AQ47" s="394"/>
      <c r="AR47" s="394"/>
      <c r="AS47" s="394"/>
      <c r="AT47" s="147"/>
      <c r="AU47" s="147"/>
      <c r="AV47" s="147"/>
      <c r="AW47" s="147"/>
      <c r="AX47" s="147"/>
    </row>
    <row r="48" spans="2:50" ht="18">
      <c r="B48" s="152"/>
      <c r="C48" s="152"/>
      <c r="D48" s="152"/>
      <c r="E48" s="152"/>
      <c r="F48" s="152"/>
      <c r="G48" s="152"/>
      <c r="H48" s="152"/>
      <c r="I48" s="152"/>
      <c r="J48" s="152"/>
      <c r="K48" s="153" t="s">
        <v>198</v>
      </c>
      <c r="L48" s="152"/>
      <c r="M48" s="152"/>
      <c r="N48" s="152"/>
      <c r="O48" s="386">
        <v>50</v>
      </c>
      <c r="P48" s="152"/>
      <c r="AN48" s="391"/>
      <c r="AO48" s="391"/>
      <c r="AP48" s="394" t="s">
        <v>369</v>
      </c>
      <c r="AQ48" s="394"/>
      <c r="AR48" s="394" t="s">
        <v>383</v>
      </c>
      <c r="AS48" s="394"/>
      <c r="AT48" s="147"/>
      <c r="AU48" s="147"/>
      <c r="AV48" s="147"/>
      <c r="AW48" s="147"/>
      <c r="AX48" s="147"/>
    </row>
    <row r="49" spans="2:50" ht="18">
      <c r="B49" s="152" t="s">
        <v>193</v>
      </c>
      <c r="C49" s="152"/>
      <c r="D49" s="152"/>
      <c r="E49" s="152"/>
      <c r="F49" s="152"/>
      <c r="G49" s="152"/>
      <c r="H49" s="152"/>
      <c r="I49" s="152"/>
      <c r="J49" s="152"/>
      <c r="K49" s="153" t="s">
        <v>200</v>
      </c>
      <c r="L49" s="152"/>
      <c r="M49" s="152"/>
      <c r="N49" s="152"/>
      <c r="O49" s="388">
        <v>45</v>
      </c>
      <c r="P49" s="152"/>
      <c r="AN49" s="391"/>
      <c r="AO49" s="394" t="s">
        <v>363</v>
      </c>
      <c r="AP49" s="394">
        <f>(4+ABS(COS(RADIANS(O49))))*I46</f>
        <v>70.60660171779821</v>
      </c>
      <c r="AQ49" s="394"/>
      <c r="AR49" s="394">
        <f>(4+ABS(COS(RADIANS(O55))))*I46</f>
        <v>70.60660171779821</v>
      </c>
      <c r="AS49" s="394"/>
      <c r="AT49" s="147"/>
      <c r="AU49" s="147"/>
      <c r="AV49" s="147"/>
      <c r="AW49" s="147"/>
      <c r="AX49" s="147"/>
    </row>
    <row r="50" spans="2:50" ht="15">
      <c r="B50" s="152" t="s">
        <v>194</v>
      </c>
      <c r="C50" s="152"/>
      <c r="D50" s="152"/>
      <c r="E50" s="152"/>
      <c r="F50" s="154">
        <f>0.3*I47*(I46^2.6)</f>
        <v>82256.41355019604</v>
      </c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U50" s="169" t="s">
        <v>415</v>
      </c>
      <c r="AN50" s="391"/>
      <c r="AO50" s="393" t="s">
        <v>364</v>
      </c>
      <c r="AP50" s="393">
        <f>4*I46</f>
        <v>60</v>
      </c>
      <c r="AQ50" s="393"/>
      <c r="AR50" s="393">
        <f>4*I46</f>
        <v>60</v>
      </c>
      <c r="AS50" s="395"/>
      <c r="AT50" s="146"/>
      <c r="AU50" s="147"/>
      <c r="AV50" s="147"/>
      <c r="AW50" s="147"/>
      <c r="AX50" s="147"/>
    </row>
    <row r="51" spans="2:50" ht="15">
      <c r="B51" s="152"/>
      <c r="C51" s="152"/>
      <c r="D51" s="152"/>
      <c r="E51" s="152"/>
      <c r="F51" s="152"/>
      <c r="G51" s="152"/>
      <c r="H51" s="152"/>
      <c r="I51" s="152"/>
      <c r="J51" s="152"/>
      <c r="K51" s="152" t="s">
        <v>401</v>
      </c>
      <c r="L51" s="152"/>
      <c r="M51" s="152"/>
      <c r="N51" s="152"/>
      <c r="O51" s="152"/>
      <c r="P51" s="152"/>
      <c r="AN51" s="391"/>
      <c r="AO51" s="393" t="s">
        <v>365</v>
      </c>
      <c r="AP51" s="393">
        <f>MAX(7*I46,80)</f>
        <v>105</v>
      </c>
      <c r="AQ51" s="393"/>
      <c r="AR51" s="393">
        <f>MAX(7*I46,80)</f>
        <v>105</v>
      </c>
      <c r="AS51" s="395"/>
      <c r="AT51" s="146"/>
      <c r="AU51" s="147"/>
      <c r="AV51" s="147"/>
      <c r="AW51" s="147"/>
      <c r="AX51" s="147"/>
    </row>
    <row r="52" spans="2:50" ht="18">
      <c r="B52" s="152" t="s">
        <v>176</v>
      </c>
      <c r="C52" s="152"/>
      <c r="D52" s="152"/>
      <c r="E52" s="152"/>
      <c r="F52" s="152"/>
      <c r="G52" s="152"/>
      <c r="H52" s="152"/>
      <c r="I52" s="152"/>
      <c r="J52" s="152"/>
      <c r="K52" s="152" t="s">
        <v>91</v>
      </c>
      <c r="L52" s="152"/>
      <c r="M52" s="152"/>
      <c r="N52" s="152"/>
      <c r="O52" s="387" t="s">
        <v>25</v>
      </c>
      <c r="P52" s="152"/>
      <c r="AN52" s="391"/>
      <c r="AO52" s="393" t="s">
        <v>366</v>
      </c>
      <c r="AP52" s="393">
        <f>(1+6*(SIN(RADIANS(O49))))*I46</f>
        <v>78.63961030678927</v>
      </c>
      <c r="AQ52" s="393"/>
      <c r="AR52" s="393">
        <f>(1+6*(SIN(RADIANS(O55))))*I46</f>
        <v>78.63961030678927</v>
      </c>
      <c r="AS52" s="395"/>
      <c r="AT52" s="146"/>
      <c r="AU52" s="147"/>
      <c r="AV52" s="147"/>
      <c r="AW52" s="147"/>
      <c r="AX52" s="147"/>
    </row>
    <row r="53" spans="2:50" ht="18">
      <c r="B53" s="155" t="s">
        <v>217</v>
      </c>
      <c r="C53" s="152"/>
      <c r="D53" s="159">
        <f>D54/((C55*(SIN(RADIANS(O49)))^2)+(COS(RADIANS(O49)))^2)</f>
        <v>18.40621359223301</v>
      </c>
      <c r="E53" s="152"/>
      <c r="F53" s="152"/>
      <c r="G53" s="152"/>
      <c r="H53" s="152"/>
      <c r="I53" s="152"/>
      <c r="J53" s="152"/>
      <c r="K53" s="153" t="s">
        <v>178</v>
      </c>
      <c r="L53" s="152"/>
      <c r="M53" s="152"/>
      <c r="N53" s="152"/>
      <c r="O53" s="152">
        <f>HLOOKUP(O52,'Propiedades_bases cálculo'!C9:AD24,10,FALSE)</f>
        <v>620</v>
      </c>
      <c r="P53" s="152"/>
      <c r="AN53" s="391"/>
      <c r="AO53" s="394"/>
      <c r="AP53" s="394">
        <f>4*I46</f>
        <v>60</v>
      </c>
      <c r="AQ53" s="394"/>
      <c r="AR53" s="394">
        <f>4*I46</f>
        <v>60</v>
      </c>
      <c r="AS53" s="394"/>
      <c r="AT53" s="147"/>
      <c r="AU53" s="147"/>
      <c r="AV53" s="147"/>
      <c r="AW53" s="147"/>
      <c r="AX53" s="147"/>
    </row>
    <row r="54" spans="2:50" ht="18">
      <c r="B54" s="155" t="s">
        <v>219</v>
      </c>
      <c r="C54" s="152"/>
      <c r="D54" s="159">
        <f>0.082*(1-(0.01*I46))*O47</f>
        <v>23.698</v>
      </c>
      <c r="E54" s="152"/>
      <c r="F54" s="152"/>
      <c r="G54" s="152"/>
      <c r="H54" s="152"/>
      <c r="I54" s="152"/>
      <c r="J54" s="152"/>
      <c r="K54" s="153" t="s">
        <v>199</v>
      </c>
      <c r="L54" s="152"/>
      <c r="M54" s="152"/>
      <c r="N54" s="152"/>
      <c r="O54" s="386">
        <v>55</v>
      </c>
      <c r="P54" s="152"/>
      <c r="AN54" s="391"/>
      <c r="AO54" s="394"/>
      <c r="AP54" s="394">
        <f>(1+6*(SIN(RADIANS(O49))))*I46</f>
        <v>78.63961030678927</v>
      </c>
      <c r="AQ54" s="394"/>
      <c r="AR54" s="394">
        <f>(1+6*(SIN(RADIANS(O55))))*I46</f>
        <v>78.63961030678927</v>
      </c>
      <c r="AS54" s="394"/>
      <c r="AT54" s="147"/>
      <c r="AU54" s="147"/>
      <c r="AV54" s="147"/>
      <c r="AW54" s="147"/>
      <c r="AX54" s="147"/>
    </row>
    <row r="55" spans="2:50" ht="18">
      <c r="B55" s="160" t="s">
        <v>395</v>
      </c>
      <c r="C55" s="152">
        <f>IF(AND(O47&gt;=290,O47&lt;=460),1.35+(0.015*I46),0.9+(0.015*I46))</f>
        <v>1.5750000000000002</v>
      </c>
      <c r="D55" s="152"/>
      <c r="E55" s="152"/>
      <c r="F55" s="152"/>
      <c r="G55" s="152"/>
      <c r="H55" s="152"/>
      <c r="I55" s="152"/>
      <c r="J55" s="152"/>
      <c r="K55" s="153" t="s">
        <v>200</v>
      </c>
      <c r="L55" s="152"/>
      <c r="M55" s="152"/>
      <c r="N55" s="152"/>
      <c r="O55" s="386">
        <v>45</v>
      </c>
      <c r="P55" s="152"/>
      <c r="AN55" s="391"/>
      <c r="AO55" s="396" t="s">
        <v>367</v>
      </c>
      <c r="AP55" s="397">
        <f>MAX((2+(2*SIN(RADIANS(O49))))*I46,3*I46)</f>
        <v>51.21320343559643</v>
      </c>
      <c r="AQ55" s="397"/>
      <c r="AR55" s="397">
        <f>MAX((2+(2*SIN(RADIANS(O55))))*I46,3*I46)</f>
        <v>51.21320343559643</v>
      </c>
      <c r="AS55" s="397"/>
      <c r="AT55" s="97"/>
      <c r="AU55" s="97"/>
      <c r="AV55" s="97"/>
      <c r="AW55" s="97"/>
      <c r="AX55" s="97"/>
    </row>
    <row r="56" spans="2:50" ht="18">
      <c r="B56" s="155" t="s">
        <v>208</v>
      </c>
      <c r="C56" s="152"/>
      <c r="D56" s="159">
        <f>D57/((C58*(SIN(RADIANS(O55)))^2)+(COS(RADIANS(O55)))^2)</f>
        <v>40.672</v>
      </c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AN56" s="391"/>
      <c r="AO56" s="396" t="s">
        <v>368</v>
      </c>
      <c r="AP56" s="397">
        <f>3*I46</f>
        <v>45</v>
      </c>
      <c r="AQ56" s="397"/>
      <c r="AR56" s="397">
        <f>3*I46</f>
        <v>45</v>
      </c>
      <c r="AS56" s="397"/>
      <c r="AT56" s="97"/>
      <c r="AU56" s="97"/>
      <c r="AV56" s="97"/>
      <c r="AW56" s="97"/>
      <c r="AX56" s="97"/>
    </row>
    <row r="57" spans="2:50" ht="18">
      <c r="B57" s="155" t="s">
        <v>219</v>
      </c>
      <c r="C57" s="152"/>
      <c r="D57" s="159">
        <f>0.082*(1-(0.01*I46))*O53</f>
        <v>43.214</v>
      </c>
      <c r="E57" s="152"/>
      <c r="F57" s="152"/>
      <c r="G57" s="152"/>
      <c r="H57" s="152"/>
      <c r="I57" s="152"/>
      <c r="J57" s="152"/>
      <c r="K57" s="155" t="s">
        <v>421</v>
      </c>
      <c r="L57" s="152"/>
      <c r="M57" s="152"/>
      <c r="N57" s="152"/>
      <c r="O57" s="386">
        <v>25000</v>
      </c>
      <c r="P57" s="152"/>
      <c r="AN57" s="391"/>
      <c r="AO57" s="393"/>
      <c r="AP57" s="393"/>
      <c r="AQ57" s="393"/>
      <c r="AR57" s="393"/>
      <c r="AS57" s="393"/>
      <c r="AT57" s="145"/>
      <c r="AU57" s="145"/>
      <c r="AV57" s="145"/>
      <c r="AW57" s="145"/>
      <c r="AX57" s="145"/>
    </row>
    <row r="58" spans="2:50" ht="18">
      <c r="B58" s="160" t="s">
        <v>394</v>
      </c>
      <c r="C58" s="157">
        <f>IF(AND(O53&gt;=290,O53&lt;=460),1.35+(0.015*I46),0.9+(0.015*I46))</f>
        <v>1.125</v>
      </c>
      <c r="D58" s="152"/>
      <c r="E58" s="152"/>
      <c r="F58" s="152"/>
      <c r="G58" s="152"/>
      <c r="H58" s="152"/>
      <c r="I58" s="152"/>
      <c r="J58" s="152"/>
      <c r="K58" s="153" t="s">
        <v>203</v>
      </c>
      <c r="L58" s="152"/>
      <c r="M58" s="152"/>
      <c r="N58" s="152"/>
      <c r="O58" s="386">
        <v>2</v>
      </c>
      <c r="P58" s="152"/>
      <c r="R58" t="s">
        <v>283</v>
      </c>
      <c r="U58" t="s">
        <v>284</v>
      </c>
      <c r="V58" s="97"/>
      <c r="W58" s="97"/>
      <c r="X58" t="s">
        <v>285</v>
      </c>
      <c r="Y58" s="97"/>
      <c r="Z58" s="97"/>
      <c r="AA58" t="s">
        <v>286</v>
      </c>
      <c r="AN58" s="391"/>
      <c r="AO58" s="393"/>
      <c r="AP58" s="393"/>
      <c r="AQ58" s="393"/>
      <c r="AR58" s="393"/>
      <c r="AS58" s="393"/>
      <c r="AT58" s="145"/>
      <c r="AU58" s="145"/>
      <c r="AV58" s="145"/>
      <c r="AW58" s="145"/>
      <c r="AX58" s="145"/>
    </row>
    <row r="59" spans="2:50" ht="15">
      <c r="B59" s="156"/>
      <c r="C59" s="152"/>
      <c r="D59" s="152"/>
      <c r="E59" s="152"/>
      <c r="F59" s="152"/>
      <c r="G59" s="152"/>
      <c r="H59" s="152"/>
      <c r="I59" s="152"/>
      <c r="J59" s="152"/>
      <c r="K59" s="152" t="s">
        <v>206</v>
      </c>
      <c r="L59" s="152"/>
      <c r="M59" s="152"/>
      <c r="N59" s="152"/>
      <c r="O59" s="387" t="s">
        <v>67</v>
      </c>
      <c r="P59" s="152"/>
      <c r="U59" s="170" t="s">
        <v>416</v>
      </c>
      <c r="AN59" s="391"/>
      <c r="AO59" s="394" t="s">
        <v>393</v>
      </c>
      <c r="AP59" s="394"/>
      <c r="AQ59" s="394"/>
      <c r="AR59" s="394"/>
      <c r="AS59" s="394"/>
      <c r="AT59" s="147"/>
      <c r="AU59" s="147"/>
      <c r="AV59" s="147"/>
      <c r="AW59" s="147"/>
      <c r="AX59" s="147"/>
    </row>
    <row r="60" spans="2:50" ht="18">
      <c r="B60" s="177" t="s">
        <v>210</v>
      </c>
      <c r="C60" s="157">
        <f>D56/D53</f>
        <v>2.2096885813148788</v>
      </c>
      <c r="D60" s="152"/>
      <c r="E60" s="152"/>
      <c r="F60" s="152"/>
      <c r="G60" s="152"/>
      <c r="H60" s="152"/>
      <c r="I60" s="152"/>
      <c r="J60" s="152"/>
      <c r="K60" s="155" t="s">
        <v>207</v>
      </c>
      <c r="L60" s="152"/>
      <c r="M60" s="152"/>
      <c r="N60" s="152"/>
      <c r="O60" s="152">
        <f>INDEX('Propiedades_bases cálculo'!B29:G32,MATCH('UNIONES MADERA-MADERA'!O58,'Propiedades_bases cálculo'!B29:B32,0),MATCH('UNIONES MADERA-MADERA'!O59,'Propiedades_bases cálculo'!B29:G29,0))</f>
        <v>0.7</v>
      </c>
      <c r="P60" s="152"/>
      <c r="AN60" s="391"/>
      <c r="AO60" s="394"/>
      <c r="AP60" s="394"/>
      <c r="AQ60" s="394"/>
      <c r="AR60" s="394"/>
      <c r="AS60" s="394"/>
      <c r="AT60" s="147"/>
      <c r="AU60" s="147"/>
      <c r="AV60" s="147"/>
      <c r="AW60" s="147"/>
      <c r="AX60" s="147"/>
    </row>
    <row r="61" spans="2:50" ht="18">
      <c r="B61" s="152"/>
      <c r="C61" s="152"/>
      <c r="D61" s="152"/>
      <c r="E61" s="152"/>
      <c r="F61" s="152"/>
      <c r="G61" s="152"/>
      <c r="H61" s="152"/>
      <c r="I61" s="152"/>
      <c r="J61" s="152"/>
      <c r="K61" s="158" t="s">
        <v>205</v>
      </c>
      <c r="L61" s="152"/>
      <c r="M61" s="152"/>
      <c r="N61" s="152"/>
      <c r="O61" s="152">
        <v>1.3</v>
      </c>
      <c r="P61" s="152"/>
      <c r="AN61" s="391"/>
      <c r="AO61" s="391"/>
      <c r="AP61" s="394" t="s">
        <v>369</v>
      </c>
      <c r="AQ61" s="394"/>
      <c r="AR61" s="394" t="s">
        <v>383</v>
      </c>
      <c r="AS61" s="394"/>
      <c r="AT61" s="147"/>
      <c r="AU61" s="147"/>
      <c r="AV61" s="147"/>
      <c r="AW61" s="147"/>
      <c r="AX61" s="147"/>
    </row>
    <row r="62" spans="2:50" ht="1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R62" s="175" t="s">
        <v>392</v>
      </c>
      <c r="AA62" s="1" t="s">
        <v>414</v>
      </c>
      <c r="AN62" s="391"/>
      <c r="AO62" s="394" t="s">
        <v>363</v>
      </c>
      <c r="AP62" s="393">
        <f>(3+(2*ABS(COS(RADIANS(O49)))))*I46</f>
        <v>66.21320343559643</v>
      </c>
      <c r="AQ62" s="393"/>
      <c r="AR62" s="393">
        <f>(3+(2*ABS(COS(RADIANS(O55)))))*I46</f>
        <v>66.21320343559643</v>
      </c>
      <c r="AS62" s="395"/>
      <c r="AT62" s="146"/>
      <c r="AU62" s="147"/>
      <c r="AV62" s="147"/>
      <c r="AW62" s="147"/>
      <c r="AX62" s="147"/>
    </row>
    <row r="63" spans="2:50" ht="20.25">
      <c r="B63" s="131" t="s">
        <v>215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S63" s="174" t="s">
        <v>385</v>
      </c>
      <c r="T63" s="174" t="s">
        <v>386</v>
      </c>
      <c r="U63" s="174" t="s">
        <v>387</v>
      </c>
      <c r="V63" s="174" t="s">
        <v>388</v>
      </c>
      <c r="W63" s="174" t="s">
        <v>389</v>
      </c>
      <c r="X63" s="174" t="s">
        <v>390</v>
      </c>
      <c r="Z63" s="129"/>
      <c r="AA63" s="185" t="s">
        <v>328</v>
      </c>
      <c r="AB63" s="129" t="s">
        <v>413</v>
      </c>
      <c r="AC63" s="129"/>
      <c r="AD63" s="129"/>
      <c r="AE63" s="129"/>
      <c r="AF63" s="129"/>
      <c r="AG63" s="129"/>
      <c r="AH63" s="129"/>
      <c r="AI63" s="129"/>
      <c r="AN63" s="391"/>
      <c r="AO63" s="393" t="s">
        <v>364</v>
      </c>
      <c r="AP63" s="393">
        <f>3*I46</f>
        <v>45</v>
      </c>
      <c r="AQ63" s="393"/>
      <c r="AR63" s="393">
        <f>3*I46</f>
        <v>45</v>
      </c>
      <c r="AS63" s="395"/>
      <c r="AT63" s="146"/>
      <c r="AU63" s="147"/>
      <c r="AV63" s="147"/>
      <c r="AW63" s="147"/>
      <c r="AX63" s="147"/>
    </row>
    <row r="64" spans="2:50" ht="15">
      <c r="B64" t="s">
        <v>201</v>
      </c>
      <c r="R64" s="155" t="s">
        <v>369</v>
      </c>
      <c r="S64" s="171">
        <f>AP49</f>
        <v>70.60660171779821</v>
      </c>
      <c r="T64" s="171">
        <f>AP50</f>
        <v>60</v>
      </c>
      <c r="U64" s="171">
        <f>AP51</f>
        <v>105</v>
      </c>
      <c r="V64" s="171">
        <f>IF(150&lt;=O49&lt;210,AP53,AP52)</f>
        <v>78.63961030678927</v>
      </c>
      <c r="W64" s="171">
        <f>AP55</f>
        <v>51.21320343559643</v>
      </c>
      <c r="X64" s="171">
        <f>AP56</f>
        <v>45</v>
      </c>
      <c r="Y64" s="160" t="s">
        <v>369</v>
      </c>
      <c r="AA64" s="171">
        <f>I46+1</f>
        <v>16</v>
      </c>
      <c r="AB64" s="152">
        <f>I46</f>
        <v>15</v>
      </c>
      <c r="AC64" t="s">
        <v>412</v>
      </c>
      <c r="AN64" s="391"/>
      <c r="AO64" s="393" t="s">
        <v>365</v>
      </c>
      <c r="AP64" s="393">
        <f>MAX(7*I46,80)</f>
        <v>105</v>
      </c>
      <c r="AQ64" s="393"/>
      <c r="AR64" s="393">
        <f>MAX(7*I46,80)</f>
        <v>105</v>
      </c>
      <c r="AS64" s="395"/>
      <c r="AT64" s="146"/>
      <c r="AU64" s="147"/>
      <c r="AV64" s="147"/>
      <c r="AW64" s="147"/>
      <c r="AX64" s="147"/>
    </row>
    <row r="65" spans="2:50" ht="18">
      <c r="B65" t="s">
        <v>183</v>
      </c>
      <c r="C65" t="s">
        <v>192</v>
      </c>
      <c r="D65" s="130">
        <f>D53*O48*I46</f>
        <v>13804.660194174758</v>
      </c>
      <c r="R65" s="173" t="s">
        <v>383</v>
      </c>
      <c r="S65" s="172">
        <f>AR49</f>
        <v>70.60660171779821</v>
      </c>
      <c r="T65" s="172">
        <f>AR50</f>
        <v>60</v>
      </c>
      <c r="U65" s="172">
        <f>AR51</f>
        <v>105</v>
      </c>
      <c r="V65" s="172">
        <f>IF(150&lt;=O55&lt;210,AR53,AR52)</f>
        <v>78.63961030678927</v>
      </c>
      <c r="W65" s="172">
        <f>AR55</f>
        <v>51.21320343559643</v>
      </c>
      <c r="X65" s="172">
        <f>AR56</f>
        <v>45</v>
      </c>
      <c r="Y65" s="179" t="s">
        <v>383</v>
      </c>
      <c r="AA65" s="183">
        <f>I46+1</f>
        <v>16</v>
      </c>
      <c r="AB65" s="184">
        <f>I46</f>
        <v>15</v>
      </c>
      <c r="AC65" t="s">
        <v>412</v>
      </c>
      <c r="AN65" s="391"/>
      <c r="AO65" s="393" t="s">
        <v>366</v>
      </c>
      <c r="AP65" s="394">
        <f>MAX(AP64*ABS(SIN(RADIANS(O49)))*I46,3*I46)</f>
        <v>1113.6931803688121</v>
      </c>
      <c r="AQ65" s="394"/>
      <c r="AR65" s="394">
        <f>MAX(AR64*ABS(SIN(RADIANS(O55)))*I46,3*I46)</f>
        <v>1113.6931803688121</v>
      </c>
      <c r="AS65" s="394"/>
      <c r="AT65" s="147"/>
      <c r="AU65" s="147"/>
      <c r="AV65" s="147"/>
      <c r="AW65" s="147"/>
      <c r="AX65" s="147"/>
    </row>
    <row r="66" spans="2:50" ht="18">
      <c r="B66" t="s">
        <v>184</v>
      </c>
      <c r="C66" t="s">
        <v>192</v>
      </c>
      <c r="D66" s="130">
        <f>D56*O54*I46</f>
        <v>33554.4</v>
      </c>
      <c r="AN66" s="391"/>
      <c r="AO66" s="394"/>
      <c r="AP66" s="394">
        <f>3*I46</f>
        <v>45</v>
      </c>
      <c r="AQ66" s="394"/>
      <c r="AR66" s="394">
        <f>3*I46</f>
        <v>45</v>
      </c>
      <c r="AS66" s="394"/>
      <c r="AT66" s="147"/>
      <c r="AU66" s="147"/>
      <c r="AV66" s="147"/>
      <c r="AW66" s="147"/>
      <c r="AX66" s="147"/>
    </row>
    <row r="67" spans="2:45" ht="18">
      <c r="B67" t="s">
        <v>185</v>
      </c>
      <c r="C67" t="s">
        <v>192</v>
      </c>
      <c r="D67" s="130">
        <f>(D53*O48*I46/(1+C60))*(((C60+((2*(C60^2))*(1+(O54/O48)+((O54/O48)^2))+(C60^3)*((O54/O48)^2)))^0.5)-(C60*(1+(O54/O48))))</f>
        <v>9711.881739878292</v>
      </c>
      <c r="R67" s="175" t="s">
        <v>332</v>
      </c>
      <c r="AN67" s="391"/>
      <c r="AO67" s="394"/>
      <c r="AP67" s="391">
        <f>MAX(AP64*ABS(SIN(RADIANS(O49)))*I46,3*I46)</f>
        <v>1113.6931803688121</v>
      </c>
      <c r="AQ67" s="391"/>
      <c r="AR67" s="391">
        <f>MAX(AR64*ABS(SIN(RADIANS(O55)))*I46,3*I46)</f>
        <v>1113.6931803688121</v>
      </c>
      <c r="AS67" s="391"/>
    </row>
    <row r="68" spans="2:45" ht="20.25">
      <c r="B68" t="s">
        <v>186</v>
      </c>
      <c r="C68" t="s">
        <v>192</v>
      </c>
      <c r="D68" s="130">
        <f>(1.05*D53*O48*I46/(2+C60))*((2*C60*(1+C60)+(4.5*C60*(2+C60)*F50)/(D53*I46*O48*O48))^0.5-C60)</f>
        <v>7468.499716566591</v>
      </c>
      <c r="S68" s="174" t="s">
        <v>385</v>
      </c>
      <c r="T68" s="174" t="s">
        <v>386</v>
      </c>
      <c r="U68" s="174" t="s">
        <v>387</v>
      </c>
      <c r="V68" s="174" t="s">
        <v>388</v>
      </c>
      <c r="W68" s="174" t="s">
        <v>389</v>
      </c>
      <c r="X68" s="174" t="s">
        <v>390</v>
      </c>
      <c r="AA68" s="1" t="s">
        <v>414</v>
      </c>
      <c r="AN68" s="391"/>
      <c r="AO68" s="396" t="s">
        <v>367</v>
      </c>
      <c r="AP68" s="391">
        <f>MAX((2+(2*SIN(RADIANS(O55))))*I46,3*I46)</f>
        <v>51.21320343559643</v>
      </c>
      <c r="AQ68" s="391"/>
      <c r="AR68" s="391">
        <f>MAX((2+(2*SIN(RADIANS(O55))))*I46,3*I46)</f>
        <v>51.21320343559643</v>
      </c>
      <c r="AS68" s="391"/>
    </row>
    <row r="69" spans="2:45" ht="18">
      <c r="B69" t="s">
        <v>187</v>
      </c>
      <c r="C69" t="s">
        <v>192</v>
      </c>
      <c r="D69" s="130">
        <f>(1.05*D53*O54*I46/(1+(2*C60)))*((2*C60*C60*(1+C60)+(4.5*C60*(1+(2*C60))*F50)/(D53*I46*O54*O54))^0.5-C60)</f>
        <v>11310.499899068262</v>
      </c>
      <c r="R69" s="155" t="s">
        <v>369</v>
      </c>
      <c r="S69" s="171">
        <f>AP62</f>
        <v>66.21320343559643</v>
      </c>
      <c r="T69" s="171">
        <f>AP63</f>
        <v>45</v>
      </c>
      <c r="U69" s="171">
        <f>AP64</f>
        <v>105</v>
      </c>
      <c r="V69" s="171">
        <f>IF(150&lt;=O49&lt;210,AP66,AP65)</f>
        <v>1113.6931803688121</v>
      </c>
      <c r="W69" s="171">
        <f>AP68</f>
        <v>51.21320343559643</v>
      </c>
      <c r="X69" s="171">
        <f>AP69</f>
        <v>45</v>
      </c>
      <c r="Y69" s="160" t="s">
        <v>369</v>
      </c>
      <c r="AA69" s="180">
        <f>IF(O47&lt;=460,0.75*I46,0.9*I46)</f>
        <v>11.25</v>
      </c>
      <c r="AB69" t="s">
        <v>412</v>
      </c>
      <c r="AN69" s="391"/>
      <c r="AO69" s="396" t="s">
        <v>368</v>
      </c>
      <c r="AP69" s="391">
        <f>3*I46</f>
        <v>45</v>
      </c>
      <c r="AQ69" s="391"/>
      <c r="AR69" s="391">
        <f>3*I46</f>
        <v>45</v>
      </c>
      <c r="AS69" s="391"/>
    </row>
    <row r="70" spans="2:28" ht="18">
      <c r="B70" t="s">
        <v>188</v>
      </c>
      <c r="C70" t="s">
        <v>192</v>
      </c>
      <c r="D70" s="130">
        <f>1.15*(((2*C60)/(1+C60))^0.5)*((2*F50*D53*I46)^0.5)</f>
        <v>9094.412867070272</v>
      </c>
      <c r="R70" s="173" t="s">
        <v>383</v>
      </c>
      <c r="S70" s="172">
        <f>AR62</f>
        <v>66.21320343559643</v>
      </c>
      <c r="T70" s="172">
        <f>AR63</f>
        <v>45</v>
      </c>
      <c r="U70" s="172">
        <f>AR64</f>
        <v>105</v>
      </c>
      <c r="V70" s="172">
        <f>IF(150&lt;=O55&lt;210,AR66,AR65)</f>
        <v>1113.6931803688121</v>
      </c>
      <c r="W70" s="172">
        <f>AR68</f>
        <v>51.21320343559643</v>
      </c>
      <c r="X70" s="172">
        <f>AR69</f>
        <v>45</v>
      </c>
      <c r="Y70" s="179" t="s">
        <v>383</v>
      </c>
      <c r="AA70" s="183">
        <f>IF(O53&lt;=460,0.75*I46,0.9*I46)</f>
        <v>13.5</v>
      </c>
      <c r="AB70" t="s">
        <v>412</v>
      </c>
    </row>
    <row r="72" spans="3:4" ht="18">
      <c r="C72" s="1" t="s">
        <v>191</v>
      </c>
      <c r="D72">
        <f>MIN(D65:D70)</f>
        <v>7468.499716566591</v>
      </c>
    </row>
    <row r="73" spans="3:4" ht="18">
      <c r="C73" s="1" t="s">
        <v>190</v>
      </c>
      <c r="D73">
        <f>D72*O60/O61</f>
        <v>4021.4998473820106</v>
      </c>
    </row>
    <row r="74" spans="3:6" ht="15">
      <c r="C74" s="1" t="s">
        <v>202</v>
      </c>
      <c r="F74" s="181">
        <f>O57/D73</f>
        <v>6.216586086973236</v>
      </c>
    </row>
    <row r="77" ht="21">
      <c r="B77" s="135" t="s">
        <v>211</v>
      </c>
    </row>
    <row r="79" spans="2:53" ht="15.75">
      <c r="B79" s="133" t="s">
        <v>357</v>
      </c>
      <c r="K79" s="132" t="s">
        <v>177</v>
      </c>
      <c r="AN79" s="391"/>
      <c r="AO79" s="391"/>
      <c r="AP79" s="391"/>
      <c r="AQ79" s="391"/>
      <c r="AR79" s="391"/>
      <c r="AS79" s="391"/>
      <c r="AT79" s="391"/>
      <c r="AU79" s="391"/>
      <c r="AV79" s="391" t="s">
        <v>384</v>
      </c>
      <c r="AW79" s="391"/>
      <c r="AX79" s="391"/>
      <c r="AY79" s="391"/>
      <c r="AZ79" s="391"/>
      <c r="BA79" s="391"/>
    </row>
    <row r="80" spans="2:53" ht="15"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AN80" s="391"/>
      <c r="AO80" s="391"/>
      <c r="AP80" s="391"/>
      <c r="AQ80" s="391"/>
      <c r="AR80" s="391" t="s">
        <v>319</v>
      </c>
      <c r="AS80" s="391" t="s">
        <v>372</v>
      </c>
      <c r="AT80" s="391" t="s">
        <v>373</v>
      </c>
      <c r="AU80" s="391" t="s">
        <v>375</v>
      </c>
      <c r="AV80" s="391" t="s">
        <v>369</v>
      </c>
      <c r="AW80" s="391" t="s">
        <v>383</v>
      </c>
      <c r="AX80" s="391"/>
      <c r="AY80" s="391"/>
      <c r="AZ80" s="391" t="s">
        <v>410</v>
      </c>
      <c r="BA80" s="391"/>
    </row>
    <row r="81" spans="2:53" ht="15">
      <c r="B81" s="152" t="s">
        <v>318</v>
      </c>
      <c r="C81" s="152"/>
      <c r="D81" s="152"/>
      <c r="E81" s="389" t="s">
        <v>371</v>
      </c>
      <c r="F81" s="390"/>
      <c r="G81" s="152"/>
      <c r="H81" s="161"/>
      <c r="I81" s="152"/>
      <c r="J81" s="152"/>
      <c r="K81" s="152" t="s">
        <v>402</v>
      </c>
      <c r="L81" s="152"/>
      <c r="M81" s="152"/>
      <c r="N81" s="152"/>
      <c r="O81" s="152"/>
      <c r="P81" s="152"/>
      <c r="AN81" s="391"/>
      <c r="AO81" s="391" t="s">
        <v>316</v>
      </c>
      <c r="AP81" s="391"/>
      <c r="AQ81" s="391"/>
      <c r="AR81" s="391">
        <f>(H84/600)*180*(E82^2.6)</f>
        <v>18987.411214261218</v>
      </c>
      <c r="AS81" s="391">
        <f>IF(OR(O83&gt;=500,E82&gt;6,O84&lt;MAX(7*E82,((13*E82)-30)*O83/400)),0.082*(1-(0.01*E82))*O83,0.082*O83*(E82^-0.3))</f>
        <v>22.353199999999998</v>
      </c>
      <c r="AT81" s="391">
        <f>IF(OR(O89&gt;=500,E82&gt;6,O90&lt;MAX(7*E82,((13*E82)-30)*O89/400)),0.082*(1-(0.01*E82))*O89,0.082*O89*(E82^-0.3))</f>
        <v>19.16145433902599</v>
      </c>
      <c r="AU81" s="391">
        <f>AT81/AS81</f>
        <v>0.8572130316476385</v>
      </c>
      <c r="AV81" s="391" t="str">
        <f>IF(OR(O83&gt;=500,E82&gt;6,O84&lt;MAX(7*E82,((13*E82)-30)*O83/400)),"pretaladro","sin pretaladro")</f>
        <v>pretaladro</v>
      </c>
      <c r="AW81" s="391" t="str">
        <f>IF(OR(O89&gt;=500,E82&gt;6,O90&lt;MAX(7*E82,((13*E82)-30)*O89/400)),"pretaladro","sin pretaladro")</f>
        <v>sin pretaladro</v>
      </c>
      <c r="AX81" s="391"/>
      <c r="AY81" s="391"/>
      <c r="AZ81" s="391">
        <f>0.75*E82</f>
        <v>4.5</v>
      </c>
      <c r="BA81" s="391"/>
    </row>
    <row r="82" spans="2:53" ht="15">
      <c r="B82" s="152" t="s">
        <v>374</v>
      </c>
      <c r="C82" s="152"/>
      <c r="D82" s="152"/>
      <c r="E82" s="389">
        <v>6</v>
      </c>
      <c r="F82" s="390"/>
      <c r="G82" s="152"/>
      <c r="H82" s="161"/>
      <c r="I82" s="152"/>
      <c r="J82" s="152"/>
      <c r="K82" s="152" t="s">
        <v>91</v>
      </c>
      <c r="L82" s="152"/>
      <c r="M82" s="152"/>
      <c r="N82" s="152"/>
      <c r="O82" s="387" t="s">
        <v>8</v>
      </c>
      <c r="P82" s="152"/>
      <c r="AN82" s="391"/>
      <c r="AO82" s="391" t="s">
        <v>317</v>
      </c>
      <c r="AP82" s="391"/>
      <c r="AQ82" s="391"/>
      <c r="AR82" s="391">
        <f>(H84/600)*270*(E82^2.6)</f>
        <v>28481.116821391828</v>
      </c>
      <c r="AS82" s="391">
        <f>IF(OR(O83&gt;=500,E82&gt;6,O84&lt;MAX(7*E82,((13*E82)-30)*O83/400)),0.082*(1-(0.01*E82))*O83,0.082*O83*(E82^-0.3))</f>
        <v>22.353199999999998</v>
      </c>
      <c r="AT82" s="391">
        <f>IF(OR(O89&gt;=500,E82&gt;6,O90&lt;MAX(7*E82,((13*E82)-30)*O89/400)),0.082*(1-(0.01*E82))*O89,0.082*O89*(E82^-0.3))</f>
        <v>19.16145433902599</v>
      </c>
      <c r="AU82" s="391">
        <f>AT82/AS82</f>
        <v>0.8572130316476385</v>
      </c>
      <c r="AV82" s="391" t="str">
        <f>IF(OR(O83&gt;=500,E82&gt;6,O84&lt;MAX(7*E82,((13*E82)-30)*O83/400)),"pretaladro","sin pretaladro")</f>
        <v>pretaladro</v>
      </c>
      <c r="AW82" s="391" t="str">
        <f>IF(OR(O89&gt;=500,E82&gt;6,O90&lt;MAX(7*E82,((13*E82)-30)*O89/400)),"pretaladro","sin pretaladro")</f>
        <v>sin pretaladro</v>
      </c>
      <c r="AX82" s="391"/>
      <c r="AY82" s="391"/>
      <c r="AZ82" s="391">
        <f>0.75*E82</f>
        <v>4.5</v>
      </c>
      <c r="BA82" s="391"/>
    </row>
    <row r="83" spans="2:53" ht="18">
      <c r="B83" s="152"/>
      <c r="C83" s="152"/>
      <c r="D83" s="152"/>
      <c r="E83" s="152"/>
      <c r="F83" s="152"/>
      <c r="G83" s="152"/>
      <c r="H83" s="161"/>
      <c r="I83" s="152"/>
      <c r="J83" s="152"/>
      <c r="K83" s="153" t="s">
        <v>178</v>
      </c>
      <c r="L83" s="152"/>
      <c r="M83" s="152"/>
      <c r="N83" s="152"/>
      <c r="O83" s="152">
        <f>HLOOKUP(O82,'Propiedades_bases cálculo'!C9:AD24,10,FALSE)</f>
        <v>290</v>
      </c>
      <c r="P83" s="152"/>
      <c r="AN83" s="391"/>
      <c r="AO83" s="391" t="s">
        <v>371</v>
      </c>
      <c r="AP83" s="391"/>
      <c r="AQ83" s="391"/>
      <c r="AR83" s="391">
        <f>(H84/600)*180*(E82^2.6)</f>
        <v>18987.411214261218</v>
      </c>
      <c r="AS83" s="391">
        <f>IF(OR(O83&lt;=460,E82&lt;6,),0.082*O83*E82^(-0.3),0.082*(1-(0.01*E82))*O83)</f>
        <v>13.892054395793844</v>
      </c>
      <c r="AT83" s="391">
        <f>IF(OR(O89&lt;=460,E82&lt;6,),0.082*O89*E82^(-0.3),0.082*(1-(0.01*E82))*O89)</f>
        <v>19.16145433902599</v>
      </c>
      <c r="AU83" s="391">
        <f>AT83/AS83</f>
        <v>1.379310344827586</v>
      </c>
      <c r="AV83" s="393" t="str">
        <f>IF(AND(O83&lt;=460,E82&lt;6),"sin pretaladro","pretaladro")</f>
        <v>pretaladro</v>
      </c>
      <c r="AW83" s="391" t="str">
        <f>IF(AND(O89&lt;=460,E82&lt;6),"sin pretaladro","pretaladro")</f>
        <v>pretaladro</v>
      </c>
      <c r="AX83" s="391"/>
      <c r="AY83" s="391"/>
      <c r="AZ83" s="391">
        <f>E82</f>
        <v>6</v>
      </c>
      <c r="BA83" s="391"/>
    </row>
    <row r="84" spans="2:53" ht="18">
      <c r="B84" s="152" t="s">
        <v>197</v>
      </c>
      <c r="C84" s="152"/>
      <c r="D84" s="152"/>
      <c r="E84" s="152"/>
      <c r="F84" s="152"/>
      <c r="G84" s="152"/>
      <c r="H84" s="386">
        <v>600</v>
      </c>
      <c r="I84" s="152"/>
      <c r="J84" s="152"/>
      <c r="K84" s="152" t="s">
        <v>212</v>
      </c>
      <c r="L84" s="152"/>
      <c r="M84" s="152"/>
      <c r="N84" s="152"/>
      <c r="O84" s="386">
        <v>35</v>
      </c>
      <c r="P84" s="152"/>
      <c r="AN84" s="391"/>
      <c r="AO84" s="391"/>
      <c r="AP84" s="391"/>
      <c r="AQ84" s="391"/>
      <c r="AR84" s="391"/>
      <c r="AS84" s="391"/>
      <c r="AT84" s="391"/>
      <c r="AU84" s="391"/>
      <c r="AV84" s="391"/>
      <c r="AW84" s="391"/>
      <c r="AX84" s="391"/>
      <c r="AY84" s="391"/>
      <c r="AZ84" s="391"/>
      <c r="BA84" s="391"/>
    </row>
    <row r="85" spans="2:53" ht="15">
      <c r="B85" s="152"/>
      <c r="C85" s="152"/>
      <c r="D85" s="152"/>
      <c r="E85" s="152"/>
      <c r="F85" s="152"/>
      <c r="G85" s="152"/>
      <c r="H85" s="152"/>
      <c r="I85" s="152"/>
      <c r="J85" s="152"/>
      <c r="K85" s="153" t="s">
        <v>200</v>
      </c>
      <c r="L85" s="152"/>
      <c r="M85" s="152"/>
      <c r="N85" s="152"/>
      <c r="O85" s="386">
        <v>0</v>
      </c>
      <c r="P85" s="152"/>
      <c r="U85" s="169" t="s">
        <v>415</v>
      </c>
      <c r="AN85" s="391"/>
      <c r="AO85" s="391"/>
      <c r="AP85" s="391"/>
      <c r="AQ85" s="391"/>
      <c r="AR85" s="391"/>
      <c r="AS85" s="391"/>
      <c r="AT85" s="391"/>
      <c r="AU85" s="391"/>
      <c r="AV85" s="391"/>
      <c r="AW85" s="391"/>
      <c r="AX85" s="391"/>
      <c r="AY85" s="391"/>
      <c r="AZ85" s="391"/>
      <c r="BA85" s="391"/>
    </row>
    <row r="86" spans="2:53" ht="18">
      <c r="B86" s="152" t="s">
        <v>174</v>
      </c>
      <c r="C86" s="152"/>
      <c r="D86" s="152"/>
      <c r="E86" s="152"/>
      <c r="F86" s="152">
        <f>VLOOKUP(E81,AO81:AU83,4,FALSE)</f>
        <v>18987.411214261218</v>
      </c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AN86" s="391"/>
      <c r="AO86" s="391"/>
      <c r="AP86" s="391"/>
      <c r="AQ86" s="391"/>
      <c r="AR86" s="391"/>
      <c r="AS86" s="391"/>
      <c r="AT86" s="391"/>
      <c r="AU86" s="391"/>
      <c r="AV86" s="391"/>
      <c r="AW86" s="391"/>
      <c r="AX86" s="391"/>
      <c r="AY86" s="391"/>
      <c r="AZ86" s="391"/>
      <c r="BA86" s="391"/>
    </row>
    <row r="87" spans="2:53" ht="15">
      <c r="B87" s="152"/>
      <c r="C87" s="152"/>
      <c r="D87" s="152"/>
      <c r="E87" s="152"/>
      <c r="F87" s="154"/>
      <c r="G87" s="152"/>
      <c r="H87" s="152"/>
      <c r="I87" s="152"/>
      <c r="J87" s="152"/>
      <c r="K87" s="152" t="s">
        <v>403</v>
      </c>
      <c r="L87" s="152"/>
      <c r="M87" s="152"/>
      <c r="N87" s="152"/>
      <c r="O87" s="152"/>
      <c r="P87" s="152"/>
      <c r="AN87" s="391"/>
      <c r="AO87" s="391"/>
      <c r="AP87" s="391" t="s">
        <v>381</v>
      </c>
      <c r="AQ87" s="391"/>
      <c r="AR87" s="391"/>
      <c r="AS87" s="391"/>
      <c r="AT87" s="391"/>
      <c r="AU87" s="391"/>
      <c r="AV87" s="391"/>
      <c r="AW87" s="391"/>
      <c r="AX87" s="391"/>
      <c r="AY87" s="391"/>
      <c r="AZ87" s="391"/>
      <c r="BA87" s="391"/>
    </row>
    <row r="88" spans="2:53" ht="18">
      <c r="B88" s="152" t="s">
        <v>176</v>
      </c>
      <c r="C88" s="152"/>
      <c r="D88" s="152"/>
      <c r="E88" s="152"/>
      <c r="F88" s="154"/>
      <c r="G88" s="152"/>
      <c r="H88" s="152"/>
      <c r="I88" s="152"/>
      <c r="J88" s="152"/>
      <c r="K88" s="152" t="s">
        <v>91</v>
      </c>
      <c r="L88" s="152"/>
      <c r="M88" s="152"/>
      <c r="N88" s="152"/>
      <c r="O88" s="387" t="s">
        <v>16</v>
      </c>
      <c r="P88" s="152"/>
      <c r="AN88" s="391"/>
      <c r="AO88" s="391" t="s">
        <v>369</v>
      </c>
      <c r="AP88" s="391" t="s">
        <v>370</v>
      </c>
      <c r="AQ88" s="391"/>
      <c r="AR88" s="391" t="s">
        <v>380</v>
      </c>
      <c r="AS88" s="391"/>
      <c r="AT88" s="391"/>
      <c r="AU88" s="391" t="s">
        <v>382</v>
      </c>
      <c r="AV88" s="391"/>
      <c r="AW88" s="391"/>
      <c r="AX88" s="391"/>
      <c r="AY88" s="391"/>
      <c r="AZ88" s="391"/>
      <c r="BA88" s="391"/>
    </row>
    <row r="89" spans="2:53" ht="18">
      <c r="B89" s="155" t="s">
        <v>377</v>
      </c>
      <c r="C89" s="366">
        <f>VLOOKUP(E81,AO81:AU83,5,FALSE)</f>
        <v>13.892054395793844</v>
      </c>
      <c r="D89" s="366"/>
      <c r="E89" s="152"/>
      <c r="F89" s="154"/>
      <c r="G89" s="152"/>
      <c r="H89" s="152"/>
      <c r="I89" s="152"/>
      <c r="J89" s="152"/>
      <c r="K89" s="153" t="s">
        <v>178</v>
      </c>
      <c r="L89" s="152"/>
      <c r="M89" s="152"/>
      <c r="N89" s="152"/>
      <c r="O89" s="152">
        <f>HLOOKUP(O88,'Propiedades_bases cálculo'!C9:AD24,10,FALSE)</f>
        <v>400</v>
      </c>
      <c r="P89" s="152"/>
      <c r="AN89" s="391"/>
      <c r="AO89" s="391" t="s">
        <v>363</v>
      </c>
      <c r="AP89" s="391">
        <f>IF(E82&lt;5,(5+5*ABS(COS(RADIANS(O85))))*E82,(5+7*ABS(COS(RADIANS(O85))))*E82)</f>
        <v>72</v>
      </c>
      <c r="AQ89" s="391"/>
      <c r="AR89" s="391">
        <f>(7+(8*ABS(COS(RADIANS(O85)))))*E82</f>
        <v>90</v>
      </c>
      <c r="AS89" s="391"/>
      <c r="AT89" s="391"/>
      <c r="AU89" s="391">
        <f>(4+COS(RADIANS(O85)))*E82</f>
        <v>30</v>
      </c>
      <c r="AV89" s="391"/>
      <c r="AW89" s="391"/>
      <c r="AX89" s="391"/>
      <c r="AY89" s="391"/>
      <c r="AZ89" s="391"/>
      <c r="BA89" s="391"/>
    </row>
    <row r="90" spans="2:53" ht="18">
      <c r="B90" s="155" t="s">
        <v>378</v>
      </c>
      <c r="C90" s="366">
        <f>VLOOKUP(E81,AO81:AU83,6,FALSE)</f>
        <v>19.16145433902599</v>
      </c>
      <c r="D90" s="366"/>
      <c r="E90" s="152"/>
      <c r="F90" s="152"/>
      <c r="G90" s="152"/>
      <c r="H90" s="152"/>
      <c r="I90" s="152"/>
      <c r="J90" s="152"/>
      <c r="K90" s="152" t="s">
        <v>213</v>
      </c>
      <c r="L90" s="152"/>
      <c r="M90" s="152"/>
      <c r="N90" s="152"/>
      <c r="O90" s="386">
        <v>55</v>
      </c>
      <c r="P90" s="152"/>
      <c r="AN90" s="391"/>
      <c r="AO90" s="391" t="s">
        <v>364</v>
      </c>
      <c r="AP90" s="391">
        <f>5*E82</f>
        <v>30</v>
      </c>
      <c r="AQ90" s="391"/>
      <c r="AR90" s="391">
        <f>7*E82</f>
        <v>42</v>
      </c>
      <c r="AS90" s="391"/>
      <c r="AT90" s="391"/>
      <c r="AU90" s="391">
        <f>(3+ABS(SIN(RADIANS(O85))))*E82</f>
        <v>18</v>
      </c>
      <c r="AV90" s="391"/>
      <c r="AW90" s="391"/>
      <c r="AX90" s="391"/>
      <c r="AY90" s="391"/>
      <c r="AZ90" s="391"/>
      <c r="BA90" s="391"/>
    </row>
    <row r="91" spans="2:53" ht="15">
      <c r="B91" s="152"/>
      <c r="C91" s="152"/>
      <c r="D91" s="152"/>
      <c r="E91" s="152"/>
      <c r="F91" s="152"/>
      <c r="G91" s="152"/>
      <c r="H91" s="152"/>
      <c r="I91" s="152"/>
      <c r="J91" s="152"/>
      <c r="K91" s="153" t="s">
        <v>200</v>
      </c>
      <c r="L91" s="152"/>
      <c r="M91" s="152"/>
      <c r="N91" s="152"/>
      <c r="O91" s="388">
        <v>90</v>
      </c>
      <c r="P91" s="152"/>
      <c r="AN91" s="391"/>
      <c r="AO91" s="391" t="s">
        <v>365</v>
      </c>
      <c r="AP91" s="391">
        <f>(10+5*COS(RADIANS(O85)))*E82</f>
        <v>90</v>
      </c>
      <c r="AQ91" s="391"/>
      <c r="AR91" s="391">
        <f>(15+(5*COS(RADIANS(O85))))*E82</f>
        <v>120</v>
      </c>
      <c r="AS91" s="391"/>
      <c r="AT91" s="391"/>
      <c r="AU91" s="391">
        <f>(7+(5*COS(RADIANS(O85))))*E82</f>
        <v>72</v>
      </c>
      <c r="AV91" s="391"/>
      <c r="AW91" s="391"/>
      <c r="AX91" s="391"/>
      <c r="AY91" s="391"/>
      <c r="AZ91" s="391"/>
      <c r="BA91" s="391"/>
    </row>
    <row r="92" spans="2:53" ht="15">
      <c r="B92" s="156" t="s">
        <v>376</v>
      </c>
      <c r="C92" s="152">
        <f>VLOOKUP(E81,AO81:AU83,7,FALSE)</f>
        <v>1.379310344827586</v>
      </c>
      <c r="D92" s="152"/>
      <c r="E92" s="152"/>
      <c r="F92" s="152"/>
      <c r="G92" s="152"/>
      <c r="H92" s="152"/>
      <c r="I92" s="152"/>
      <c r="J92" s="152"/>
      <c r="K92" s="153"/>
      <c r="L92" s="152"/>
      <c r="M92" s="152"/>
      <c r="N92" s="152"/>
      <c r="O92" s="152"/>
      <c r="P92" s="152"/>
      <c r="AN92" s="391"/>
      <c r="AO92" s="391" t="s">
        <v>366</v>
      </c>
      <c r="AP92" s="391">
        <f>10*E82</f>
        <v>60</v>
      </c>
      <c r="AQ92" s="391"/>
      <c r="AR92" s="391">
        <f>15*E82</f>
        <v>90</v>
      </c>
      <c r="AS92" s="391"/>
      <c r="AT92" s="391"/>
      <c r="AU92" s="391">
        <f>7*E82</f>
        <v>42</v>
      </c>
      <c r="AV92" s="391"/>
      <c r="AW92" s="391"/>
      <c r="AX92" s="391"/>
      <c r="AY92" s="391"/>
      <c r="AZ92" s="391"/>
      <c r="BA92" s="391"/>
    </row>
    <row r="93" spans="2:53" ht="18">
      <c r="B93" s="152"/>
      <c r="C93" s="161"/>
      <c r="D93" s="152"/>
      <c r="E93" s="152"/>
      <c r="F93" s="152"/>
      <c r="G93" s="152"/>
      <c r="H93" s="152"/>
      <c r="I93" s="152"/>
      <c r="J93" s="152"/>
      <c r="K93" s="155" t="s">
        <v>422</v>
      </c>
      <c r="L93" s="152"/>
      <c r="M93" s="152"/>
      <c r="N93" s="152"/>
      <c r="O93" s="386">
        <v>5000</v>
      </c>
      <c r="P93" s="152"/>
      <c r="R93" t="s">
        <v>283</v>
      </c>
      <c r="U93" t="s">
        <v>284</v>
      </c>
      <c r="V93" s="97"/>
      <c r="W93" s="97"/>
      <c r="X93" t="s">
        <v>285</v>
      </c>
      <c r="Y93" s="97"/>
      <c r="Z93" s="97"/>
      <c r="AA93" t="s">
        <v>286</v>
      </c>
      <c r="AN93" s="391"/>
      <c r="AO93" s="391" t="s">
        <v>367</v>
      </c>
      <c r="AP93" s="391">
        <f>IF(E82&lt;5,(5+2*SIN(RADIANS(O85)))*E82,(5+5*SIN(RADIANS(O85)))*E82)</f>
        <v>30</v>
      </c>
      <c r="AQ93" s="391"/>
      <c r="AR93" s="391">
        <f>IF(E82&lt;5,(7+(2*SIN(RADIANS(O85))))*E82,(7+(5*SIN(RADIANS(O85))))*E82)</f>
        <v>42</v>
      </c>
      <c r="AS93" s="391"/>
      <c r="AT93" s="391"/>
      <c r="AU93" s="391">
        <f>IF(E82&lt;5,(3+(2*SIN(RADIANS(O85))))*E82,(3+(4*SIN(RADIANS(O85))))*E82)</f>
        <v>18</v>
      </c>
      <c r="AV93" s="391"/>
      <c r="AW93" s="391"/>
      <c r="AX93" s="391"/>
      <c r="AY93" s="391"/>
      <c r="AZ93" s="391"/>
      <c r="BA93" s="391"/>
    </row>
    <row r="94" spans="2:53" ht="15">
      <c r="B94" s="152"/>
      <c r="C94" s="152"/>
      <c r="D94" s="152"/>
      <c r="E94" s="156"/>
      <c r="F94" s="154"/>
      <c r="G94" s="152"/>
      <c r="H94" s="152"/>
      <c r="I94" s="152"/>
      <c r="J94" s="152"/>
      <c r="K94" s="152" t="s">
        <v>203</v>
      </c>
      <c r="L94" s="152"/>
      <c r="M94" s="152"/>
      <c r="N94" s="152"/>
      <c r="O94" s="386">
        <v>3</v>
      </c>
      <c r="P94" s="152"/>
      <c r="U94" s="170" t="s">
        <v>416</v>
      </c>
      <c r="AN94" s="391"/>
      <c r="AO94" s="391" t="s">
        <v>368</v>
      </c>
      <c r="AP94" s="391">
        <f>3*E82</f>
        <v>18</v>
      </c>
      <c r="AQ94" s="391"/>
      <c r="AR94" s="391">
        <f>7*E82</f>
        <v>42</v>
      </c>
      <c r="AS94" s="391"/>
      <c r="AT94" s="391"/>
      <c r="AU94" s="391">
        <f>3*E82</f>
        <v>18</v>
      </c>
      <c r="AV94" s="391"/>
      <c r="AW94" s="391"/>
      <c r="AX94" s="391"/>
      <c r="AY94" s="391"/>
      <c r="AZ94" s="391"/>
      <c r="BA94" s="391"/>
    </row>
    <row r="95" spans="2:53" ht="15">
      <c r="B95" s="152"/>
      <c r="C95" s="152"/>
      <c r="D95" s="152"/>
      <c r="E95" s="152"/>
      <c r="F95" s="152"/>
      <c r="G95" s="152"/>
      <c r="H95" s="152"/>
      <c r="I95" s="152"/>
      <c r="J95" s="152"/>
      <c r="K95" s="153" t="s">
        <v>204</v>
      </c>
      <c r="L95" s="152"/>
      <c r="M95" s="152"/>
      <c r="N95" s="152"/>
      <c r="O95" s="386" t="s">
        <v>70</v>
      </c>
      <c r="P95" s="152"/>
      <c r="AN95" s="391"/>
      <c r="AO95" s="391"/>
      <c r="AP95" s="391"/>
      <c r="AQ95" s="391"/>
      <c r="AR95" s="391"/>
      <c r="AS95" s="391"/>
      <c r="AT95" s="391"/>
      <c r="AU95" s="391"/>
      <c r="AV95" s="391"/>
      <c r="AW95" s="391"/>
      <c r="AX95" s="391"/>
      <c r="AY95" s="391"/>
      <c r="AZ95" s="391"/>
      <c r="BA95" s="391"/>
    </row>
    <row r="96" spans="2:53" ht="18">
      <c r="B96" s="152"/>
      <c r="C96" s="152"/>
      <c r="D96" s="152"/>
      <c r="E96" s="152"/>
      <c r="F96" s="152"/>
      <c r="G96" s="152"/>
      <c r="H96" s="152"/>
      <c r="I96" s="152"/>
      <c r="J96" s="152"/>
      <c r="K96" s="155" t="s">
        <v>182</v>
      </c>
      <c r="L96" s="152"/>
      <c r="M96" s="152"/>
      <c r="N96" s="152"/>
      <c r="O96" s="152">
        <f>INDEX('Propiedades_bases cálculo'!B29:G32,MATCH('UNIONES MADERA-MADERA'!O94,'Propiedades_bases cálculo'!B29:B32,0),MATCH('UNIONES MADERA-MADERA'!O95,'Propiedades_bases cálculo'!B29:G29,0))</f>
        <v>0.9</v>
      </c>
      <c r="P96" s="152"/>
      <c r="AN96" s="391"/>
      <c r="AO96" s="391"/>
      <c r="AP96" s="391" t="s">
        <v>381</v>
      </c>
      <c r="AQ96" s="391"/>
      <c r="AR96" s="391"/>
      <c r="AS96" s="391"/>
      <c r="AT96" s="391"/>
      <c r="AU96" s="391"/>
      <c r="AV96" s="391"/>
      <c r="AW96" s="391"/>
      <c r="AX96" s="391"/>
      <c r="AY96" s="391"/>
      <c r="AZ96" s="391"/>
      <c r="BA96" s="391"/>
    </row>
    <row r="97" spans="2:53" ht="20.25">
      <c r="B97" s="152"/>
      <c r="C97" s="152"/>
      <c r="D97" s="152"/>
      <c r="E97" s="156"/>
      <c r="F97" s="154"/>
      <c r="G97" s="152"/>
      <c r="H97" s="152"/>
      <c r="I97" s="152"/>
      <c r="J97" s="152"/>
      <c r="K97" s="158" t="s">
        <v>205</v>
      </c>
      <c r="L97" s="152"/>
      <c r="M97" s="152"/>
      <c r="N97" s="152"/>
      <c r="O97" s="152">
        <v>1.3</v>
      </c>
      <c r="P97" s="152"/>
      <c r="S97" s="174" t="s">
        <v>385</v>
      </c>
      <c r="T97" s="174" t="s">
        <v>386</v>
      </c>
      <c r="U97" s="174" t="s">
        <v>387</v>
      </c>
      <c r="V97" s="174" t="s">
        <v>388</v>
      </c>
      <c r="W97" s="174" t="s">
        <v>389</v>
      </c>
      <c r="X97" s="174" t="s">
        <v>390</v>
      </c>
      <c r="AC97" s="1" t="s">
        <v>411</v>
      </c>
      <c r="AN97" s="391"/>
      <c r="AO97" s="391" t="s">
        <v>383</v>
      </c>
      <c r="AP97" s="391" t="s">
        <v>370</v>
      </c>
      <c r="AQ97" s="391"/>
      <c r="AR97" s="391" t="s">
        <v>380</v>
      </c>
      <c r="AS97" s="391"/>
      <c r="AT97" s="391"/>
      <c r="AU97" s="391" t="s">
        <v>382</v>
      </c>
      <c r="AV97" s="391"/>
      <c r="AW97" s="391"/>
      <c r="AX97" s="391"/>
      <c r="AY97" s="391"/>
      <c r="AZ97" s="391"/>
      <c r="BA97" s="391"/>
    </row>
    <row r="98" spans="2:53" ht="15"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R98" s="155" t="s">
        <v>369</v>
      </c>
      <c r="S98" s="171">
        <f>IF(Z98="sin pretaladro",IF(O83&lt;=420,AP89,AR89),AU89)</f>
        <v>30</v>
      </c>
      <c r="T98" s="171">
        <f>IF(Z98="sin pretaladro",IF(O83&lt;=420,AP90,AR90),AU90)</f>
        <v>18</v>
      </c>
      <c r="U98" s="171">
        <f>IF(Z98="sin pretaladro",IF(O83&lt;=420,AP91,AR91),AU91)</f>
        <v>72</v>
      </c>
      <c r="V98" s="171">
        <f>IF(Z98="sin pretaladro",IF(O83&lt;=420,AP92,AR92),AU92)</f>
        <v>42</v>
      </c>
      <c r="W98" s="171">
        <f>IF(Z98="sin pretaladro",IF(O83&lt;=420,AP93,AR93),AU93)</f>
        <v>18</v>
      </c>
      <c r="X98" s="171">
        <f>IF(Z98="sin pretaladro",IF(O83&lt;=420,AP94,AR94),AU94)</f>
        <v>18</v>
      </c>
      <c r="Y98" s="160" t="s">
        <v>369</v>
      </c>
      <c r="Z98" t="str">
        <f>VLOOKUP(E81,AO81:AW83,8,FALSE)</f>
        <v>pretaladro</v>
      </c>
      <c r="AC98" s="180">
        <f>IF(Z98="pretaladro",VLOOKUP(E81,AO81:AZ83,12,FALSE),"-")</f>
        <v>6</v>
      </c>
      <c r="AD98" t="s">
        <v>412</v>
      </c>
      <c r="AN98" s="391"/>
      <c r="AO98" s="391" t="s">
        <v>363</v>
      </c>
      <c r="AP98" s="391">
        <f>IF(E82&lt;5,(5+5*ABS(COS(RADIANS(O91))))*E82,(5+7*ABS(COS(RADIANS(O91))))*E82)</f>
        <v>30</v>
      </c>
      <c r="AQ98" s="391"/>
      <c r="AR98" s="391">
        <f>(7+(8*ABS(COS(RADIANS(O91)))))*E82</f>
        <v>42.00000000000001</v>
      </c>
      <c r="AS98" s="391"/>
      <c r="AT98" s="391"/>
      <c r="AU98" s="391">
        <f>(4+COS(RADIANS(O91)))*E82</f>
        <v>24</v>
      </c>
      <c r="AV98" s="391"/>
      <c r="AW98" s="391"/>
      <c r="AX98" s="391"/>
      <c r="AY98" s="391"/>
      <c r="AZ98" s="391"/>
      <c r="BA98" s="391"/>
    </row>
    <row r="99" spans="2:53" ht="15"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R99" s="173" t="s">
        <v>383</v>
      </c>
      <c r="S99" s="172">
        <f>IF(Z99="sin pretaladro",IF(O89&lt;=420,AP98,AR98),AU98)</f>
        <v>24</v>
      </c>
      <c r="T99" s="172">
        <f>IF(Z99="sin pretaladro",IF(O89&lt;=420,AP99,AR99),AU99)</f>
        <v>24</v>
      </c>
      <c r="U99" s="172">
        <f>IF(Z99="sin pretaladro",IF(O89&lt;=420,AP100,AR100),AU100)</f>
        <v>42</v>
      </c>
      <c r="V99" s="172">
        <f>IF(Z99="sin pretaladro",IF(O89&lt;=420,AP101,AR101),AU101)</f>
        <v>42</v>
      </c>
      <c r="W99" s="172">
        <f>IF(Z99="sin pretaladro",IF(O89&lt;=420,AP102,AR102),AU102)</f>
        <v>42</v>
      </c>
      <c r="X99" s="172">
        <f>IF(Z99="sin pretaladro",IF(O89&lt;=420,AP103,AR103),AU103)</f>
        <v>18</v>
      </c>
      <c r="Y99" s="179" t="s">
        <v>383</v>
      </c>
      <c r="Z99" t="str">
        <f>VLOOKUP(E81,AO81:AW83,9,FALSE)</f>
        <v>pretaladro</v>
      </c>
      <c r="AC99" s="183">
        <f>IF(Z99="pretaladro",VLOOKUP(E81,AO81:AZ83,12,FALSE),"-")</f>
        <v>6</v>
      </c>
      <c r="AD99" t="s">
        <v>412</v>
      </c>
      <c r="AN99" s="391"/>
      <c r="AO99" s="391" t="s">
        <v>364</v>
      </c>
      <c r="AP99" s="391">
        <f>5*E82</f>
        <v>30</v>
      </c>
      <c r="AQ99" s="391"/>
      <c r="AR99" s="391">
        <f>7*E82</f>
        <v>42</v>
      </c>
      <c r="AS99" s="391"/>
      <c r="AT99" s="391"/>
      <c r="AU99" s="391">
        <f>(3+ABS(SIN(RADIANS(O91))))*E82</f>
        <v>24</v>
      </c>
      <c r="AV99" s="391"/>
      <c r="AW99" s="391"/>
      <c r="AX99" s="391"/>
      <c r="AY99" s="391"/>
      <c r="AZ99" s="391"/>
      <c r="BA99" s="391"/>
    </row>
    <row r="100" spans="2:53" ht="15">
      <c r="B100" s="152"/>
      <c r="C100" s="152"/>
      <c r="D100" s="152"/>
      <c r="E100" s="156"/>
      <c r="F100" s="154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AN100" s="391"/>
      <c r="AO100" s="391" t="s">
        <v>365</v>
      </c>
      <c r="AP100" s="391">
        <f>(10+5*COS(RADIANS(O91)))*E82</f>
        <v>60</v>
      </c>
      <c r="AQ100" s="391"/>
      <c r="AR100" s="391">
        <f>(15+(5*COS(RADIANS(O91))))*E82</f>
        <v>90</v>
      </c>
      <c r="AS100" s="391"/>
      <c r="AT100" s="391"/>
      <c r="AU100" s="391">
        <f>(7+(5*COS(RADIANS(O91))))*E82</f>
        <v>42</v>
      </c>
      <c r="AV100" s="391"/>
      <c r="AW100" s="391"/>
      <c r="AX100" s="391"/>
      <c r="AY100" s="391"/>
      <c r="AZ100" s="391"/>
      <c r="BA100" s="391"/>
    </row>
    <row r="101" spans="2:53" ht="15"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AN101" s="391"/>
      <c r="AO101" s="391" t="s">
        <v>366</v>
      </c>
      <c r="AP101" s="391">
        <f>10*E82</f>
        <v>60</v>
      </c>
      <c r="AQ101" s="391"/>
      <c r="AR101" s="391">
        <f>15*E82</f>
        <v>90</v>
      </c>
      <c r="AS101" s="391"/>
      <c r="AT101" s="391"/>
      <c r="AU101" s="391">
        <f>7*E82</f>
        <v>42</v>
      </c>
      <c r="AV101" s="391"/>
      <c r="AW101" s="391"/>
      <c r="AX101" s="391"/>
      <c r="AY101" s="391"/>
      <c r="AZ101" s="391"/>
      <c r="BA101" s="391"/>
    </row>
    <row r="102" spans="40:53" ht="15">
      <c r="AN102" s="391"/>
      <c r="AO102" s="391" t="s">
        <v>367</v>
      </c>
      <c r="AP102" s="391">
        <f>IF(E82&lt;5,(5+2*SIN(RADIANS(O91)))*E82,(5+5*SIN(RADIANS(O91)))*E82)</f>
        <v>60</v>
      </c>
      <c r="AQ102" s="391"/>
      <c r="AR102" s="391">
        <f>IF(E82&lt;5,(7+(2*SIN(RADIANS(O91))))*E82,(7+(5*SIN(RADIANS(O91))))*E82)</f>
        <v>72</v>
      </c>
      <c r="AS102" s="391"/>
      <c r="AT102" s="391"/>
      <c r="AU102" s="391">
        <f>IF(E82&lt;5,(3+(2*SIN(RADIANS(O91))))*E82,(3+(4*SIN(RADIANS(O91))))*E82)</f>
        <v>42</v>
      </c>
      <c r="AV102" s="391"/>
      <c r="AW102" s="391"/>
      <c r="AX102" s="391"/>
      <c r="AY102" s="391"/>
      <c r="AZ102" s="391"/>
      <c r="BA102" s="391"/>
    </row>
    <row r="103" spans="2:53" ht="18">
      <c r="B103" s="131" t="s">
        <v>215</v>
      </c>
      <c r="AN103" s="391"/>
      <c r="AO103" s="391" t="s">
        <v>368</v>
      </c>
      <c r="AP103" s="391">
        <f>3*E82</f>
        <v>18</v>
      </c>
      <c r="AQ103" s="391"/>
      <c r="AR103" s="391">
        <f>7*E82</f>
        <v>42</v>
      </c>
      <c r="AS103" s="391"/>
      <c r="AT103" s="391"/>
      <c r="AU103" s="391">
        <f>3*E82</f>
        <v>18</v>
      </c>
      <c r="AV103" s="391"/>
      <c r="AW103" s="391"/>
      <c r="AX103" s="391"/>
      <c r="AY103" s="391"/>
      <c r="AZ103" s="391"/>
      <c r="BA103" s="391"/>
    </row>
    <row r="104" spans="2:53" ht="15">
      <c r="B104" t="s">
        <v>201</v>
      </c>
      <c r="AN104" s="391"/>
      <c r="AO104" s="391"/>
      <c r="AP104" s="391"/>
      <c r="AQ104" s="391"/>
      <c r="AR104" s="391"/>
      <c r="AS104" s="391"/>
      <c r="AT104" s="391"/>
      <c r="AU104" s="391"/>
      <c r="AV104" s="391"/>
      <c r="AW104" s="391"/>
      <c r="AX104" s="391"/>
      <c r="AY104" s="391"/>
      <c r="AZ104" s="391"/>
      <c r="BA104" s="391"/>
    </row>
    <row r="105" spans="2:53" ht="18">
      <c r="B105" t="s">
        <v>183</v>
      </c>
      <c r="C105" t="s">
        <v>192</v>
      </c>
      <c r="D105" s="130">
        <f>C89*O84*E82</f>
        <v>2917.331423116707</v>
      </c>
      <c r="K105" s="130"/>
      <c r="R105" s="130"/>
      <c r="AN105" s="391"/>
      <c r="AO105" s="391"/>
      <c r="AP105" s="391"/>
      <c r="AQ105" s="391"/>
      <c r="AR105" s="391"/>
      <c r="AS105" s="391"/>
      <c r="AT105" s="391"/>
      <c r="AU105" s="391"/>
      <c r="AV105" s="391"/>
      <c r="AW105" s="391"/>
      <c r="AX105" s="391"/>
      <c r="AY105" s="391"/>
      <c r="AZ105" s="391"/>
      <c r="BA105" s="391"/>
    </row>
    <row r="106" spans="2:18" ht="18">
      <c r="B106" t="s">
        <v>184</v>
      </c>
      <c r="C106" t="s">
        <v>192</v>
      </c>
      <c r="D106" s="130">
        <f>0.5*C90*O90*E82</f>
        <v>3161.6399659392882</v>
      </c>
      <c r="K106" s="130"/>
      <c r="R106" s="130"/>
    </row>
    <row r="107" spans="2:18" ht="18">
      <c r="B107" t="s">
        <v>185</v>
      </c>
      <c r="C107" t="s">
        <v>192</v>
      </c>
      <c r="D107" s="130">
        <f>(1.05*C89*O84*E82/(2+C92))*((2*C92*(1+C92)+(4*C92*(2+C92)*F86)/(C89*E82*O84*O84))^0.5-C92)</f>
        <v>1620.5761805250968</v>
      </c>
      <c r="K107" s="130"/>
      <c r="R107" s="130"/>
    </row>
    <row r="108" spans="2:18" ht="18">
      <c r="B108" t="s">
        <v>186</v>
      </c>
      <c r="C108" t="s">
        <v>192</v>
      </c>
      <c r="D108" s="130">
        <f>1.15*(((2*C92)/(1+C92))^0.5)*((2*F86*C89*E82)^0.5)</f>
        <v>2203.0534150125227</v>
      </c>
      <c r="K108" s="130"/>
      <c r="R108" s="130"/>
    </row>
    <row r="110" spans="3:18" ht="18">
      <c r="C110" s="1" t="s">
        <v>191</v>
      </c>
      <c r="D110" s="130">
        <f>MIN(D105:D108)</f>
        <v>1620.5761805250968</v>
      </c>
      <c r="J110" s="1"/>
      <c r="K110" s="130"/>
      <c r="Q110" s="1"/>
      <c r="R110" s="130"/>
    </row>
    <row r="111" spans="3:18" ht="18">
      <c r="C111" s="1" t="s">
        <v>190</v>
      </c>
      <c r="D111" s="130">
        <f>D110*O96/O97</f>
        <v>1121.9373557481438</v>
      </c>
      <c r="J111" s="1"/>
      <c r="K111" s="130"/>
      <c r="Q111" s="1"/>
      <c r="R111" s="130"/>
    </row>
    <row r="112" spans="3:21" ht="18">
      <c r="C112" s="1" t="s">
        <v>214</v>
      </c>
      <c r="F112">
        <f>2*D111</f>
        <v>2243.8747114962875</v>
      </c>
      <c r="J112" s="1"/>
      <c r="N112" s="130"/>
      <c r="Q112" s="1"/>
      <c r="U112" s="130"/>
    </row>
    <row r="113" spans="3:21" ht="15">
      <c r="C113" s="1" t="s">
        <v>202</v>
      </c>
      <c r="F113" s="181">
        <f>O93/F112</f>
        <v>2.2282884041532958</v>
      </c>
      <c r="J113" s="1"/>
      <c r="N113" s="137"/>
      <c r="Q113" s="1"/>
      <c r="U113" s="137"/>
    </row>
    <row r="116" spans="2:11" ht="15.75">
      <c r="B116" s="133" t="s">
        <v>359</v>
      </c>
      <c r="K116" s="132" t="s">
        <v>177</v>
      </c>
    </row>
    <row r="117" spans="2:34" ht="15"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</row>
    <row r="118" spans="2:34" ht="15">
      <c r="B118" s="152" t="s">
        <v>195</v>
      </c>
      <c r="C118" s="152"/>
      <c r="D118" s="152"/>
      <c r="E118" s="152"/>
      <c r="F118" s="152"/>
      <c r="G118" s="152"/>
      <c r="H118" s="152"/>
      <c r="I118" s="152"/>
      <c r="J118" s="152"/>
      <c r="K118" s="152" t="s">
        <v>404</v>
      </c>
      <c r="L118" s="152"/>
      <c r="M118" s="152"/>
      <c r="N118" s="152"/>
      <c r="O118" s="152"/>
      <c r="P118" s="152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</row>
    <row r="119" spans="2:34" ht="15">
      <c r="B119" s="152" t="s">
        <v>218</v>
      </c>
      <c r="C119" s="152"/>
      <c r="D119" s="152"/>
      <c r="E119" s="152"/>
      <c r="F119" s="152"/>
      <c r="G119" s="152"/>
      <c r="H119" s="152"/>
      <c r="I119" s="386">
        <v>15</v>
      </c>
      <c r="J119" s="152"/>
      <c r="K119" s="152" t="s">
        <v>91</v>
      </c>
      <c r="L119" s="152"/>
      <c r="M119" s="152"/>
      <c r="N119" s="152"/>
      <c r="O119" s="387" t="s">
        <v>21</v>
      </c>
      <c r="P119" s="152"/>
      <c r="V119" s="97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97"/>
      <c r="AH119" s="97"/>
    </row>
    <row r="120" spans="2:47" ht="18">
      <c r="B120" s="152" t="s">
        <v>196</v>
      </c>
      <c r="C120" s="152"/>
      <c r="D120" s="152"/>
      <c r="E120" s="152"/>
      <c r="F120" s="152"/>
      <c r="G120" s="152"/>
      <c r="H120" s="152"/>
      <c r="I120" s="386">
        <v>240</v>
      </c>
      <c r="J120" s="152"/>
      <c r="K120" s="153" t="s">
        <v>178</v>
      </c>
      <c r="L120" s="152"/>
      <c r="M120" s="152"/>
      <c r="N120" s="152"/>
      <c r="O120" s="152">
        <f>HLOOKUP(O119,'Propiedades_bases cálculo'!C9:AD24,10,FALSE)</f>
        <v>520</v>
      </c>
      <c r="P120" s="152"/>
      <c r="V120" s="97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97"/>
      <c r="AH120" s="97"/>
      <c r="AN120" s="391"/>
      <c r="AO120" s="391"/>
      <c r="AP120" s="391" t="s">
        <v>391</v>
      </c>
      <c r="AQ120" s="391"/>
      <c r="AR120" s="391"/>
      <c r="AS120" s="391"/>
      <c r="AT120" s="391"/>
      <c r="AU120" s="391"/>
    </row>
    <row r="121" spans="2:47" ht="18">
      <c r="B121" s="152"/>
      <c r="C121" s="152"/>
      <c r="D121" s="152"/>
      <c r="E121" s="152"/>
      <c r="F121" s="152"/>
      <c r="G121" s="152"/>
      <c r="H121" s="152"/>
      <c r="I121" s="152"/>
      <c r="J121" s="152"/>
      <c r="K121" s="152" t="s">
        <v>212</v>
      </c>
      <c r="L121" s="152"/>
      <c r="M121" s="152"/>
      <c r="N121" s="152"/>
      <c r="O121" s="386">
        <v>100</v>
      </c>
      <c r="P121" s="152"/>
      <c r="V121" s="9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97"/>
      <c r="AH121" s="97"/>
      <c r="AN121" s="391"/>
      <c r="AO121" s="391"/>
      <c r="AP121" s="391" t="s">
        <v>369</v>
      </c>
      <c r="AQ121" s="391"/>
      <c r="AR121" s="391" t="s">
        <v>383</v>
      </c>
      <c r="AS121" s="391"/>
      <c r="AT121" s="391"/>
      <c r="AU121" s="391"/>
    </row>
    <row r="122" spans="2:47" ht="18">
      <c r="B122" s="152" t="s">
        <v>193</v>
      </c>
      <c r="C122" s="152"/>
      <c r="D122" s="152"/>
      <c r="E122" s="152"/>
      <c r="F122" s="152"/>
      <c r="G122" s="152"/>
      <c r="H122" s="152"/>
      <c r="I122" s="152"/>
      <c r="J122" s="152"/>
      <c r="K122" s="153" t="s">
        <v>200</v>
      </c>
      <c r="L122" s="152"/>
      <c r="M122" s="152"/>
      <c r="N122" s="152"/>
      <c r="O122" s="386">
        <v>45</v>
      </c>
      <c r="P122" s="152"/>
      <c r="U122" s="169" t="s">
        <v>415</v>
      </c>
      <c r="V122" s="9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97"/>
      <c r="AH122" s="97"/>
      <c r="AN122" s="391"/>
      <c r="AO122" s="391" t="s">
        <v>363</v>
      </c>
      <c r="AP122" s="391">
        <f>(4+ABS(COS(RADIANS(O122))))*I119</f>
        <v>70.60660171779821</v>
      </c>
      <c r="AQ122" s="391"/>
      <c r="AR122" s="391">
        <f>(4+ABS(COS(RADIANS(O128))))*I119</f>
        <v>72.99038105676658</v>
      </c>
      <c r="AS122" s="391"/>
      <c r="AT122" s="391"/>
      <c r="AU122" s="391"/>
    </row>
    <row r="123" spans="2:47" ht="15">
      <c r="B123" s="152" t="s">
        <v>194</v>
      </c>
      <c r="C123" s="152"/>
      <c r="D123" s="152"/>
      <c r="E123" s="152"/>
      <c r="F123" s="152">
        <f>0.3*I120*(I119^2.6)</f>
        <v>82256.41355019604</v>
      </c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V123" s="9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97"/>
      <c r="AH123" s="97"/>
      <c r="AN123" s="391"/>
      <c r="AO123" s="391" t="s">
        <v>364</v>
      </c>
      <c r="AP123" s="391">
        <f>4*I119</f>
        <v>60</v>
      </c>
      <c r="AQ123" s="391"/>
      <c r="AR123" s="391">
        <f>4*I119</f>
        <v>60</v>
      </c>
      <c r="AS123" s="391"/>
      <c r="AT123" s="391"/>
      <c r="AU123" s="391"/>
    </row>
    <row r="124" spans="2:47" ht="15">
      <c r="B124" s="152"/>
      <c r="C124" s="152"/>
      <c r="D124" s="152"/>
      <c r="E124" s="152"/>
      <c r="F124" s="152"/>
      <c r="G124" s="152"/>
      <c r="H124" s="152"/>
      <c r="I124" s="152"/>
      <c r="J124" s="152"/>
      <c r="K124" s="152" t="s">
        <v>405</v>
      </c>
      <c r="L124" s="152"/>
      <c r="M124" s="152"/>
      <c r="N124" s="152"/>
      <c r="O124" s="152"/>
      <c r="P124" s="152"/>
      <c r="V124" s="97"/>
      <c r="W124" s="145"/>
      <c r="X124" s="145"/>
      <c r="Y124" s="145"/>
      <c r="Z124" s="145"/>
      <c r="AA124" s="146"/>
      <c r="AB124" s="146"/>
      <c r="AC124" s="147"/>
      <c r="AD124" s="147"/>
      <c r="AE124" s="147"/>
      <c r="AF124" s="147"/>
      <c r="AG124" s="97"/>
      <c r="AH124" s="97"/>
      <c r="AN124" s="391"/>
      <c r="AO124" s="391" t="s">
        <v>365</v>
      </c>
      <c r="AP124" s="391">
        <f>MAX(7*I119,80)</f>
        <v>105</v>
      </c>
      <c r="AQ124" s="391"/>
      <c r="AR124" s="391">
        <f>MAX(7*I119,80)</f>
        <v>105</v>
      </c>
      <c r="AS124" s="391"/>
      <c r="AT124" s="391"/>
      <c r="AU124" s="391"/>
    </row>
    <row r="125" spans="2:47" ht="18">
      <c r="B125" s="152" t="s">
        <v>176</v>
      </c>
      <c r="C125" s="152"/>
      <c r="D125" s="152"/>
      <c r="E125" s="152"/>
      <c r="F125" s="152"/>
      <c r="G125" s="152"/>
      <c r="H125" s="152"/>
      <c r="I125" s="152"/>
      <c r="J125" s="152"/>
      <c r="K125" s="152" t="s">
        <v>91</v>
      </c>
      <c r="L125" s="152"/>
      <c r="M125" s="152"/>
      <c r="N125" s="152"/>
      <c r="O125" s="387" t="s">
        <v>20</v>
      </c>
      <c r="P125" s="152"/>
      <c r="V125" s="97"/>
      <c r="W125" s="145"/>
      <c r="X125" s="145"/>
      <c r="Y125" s="145"/>
      <c r="Z125" s="145"/>
      <c r="AA125" s="146"/>
      <c r="AB125" s="146"/>
      <c r="AC125" s="147"/>
      <c r="AD125" s="147"/>
      <c r="AE125" s="147"/>
      <c r="AF125" s="147"/>
      <c r="AG125" s="97"/>
      <c r="AH125" s="97"/>
      <c r="AN125" s="391"/>
      <c r="AO125" s="391" t="s">
        <v>366</v>
      </c>
      <c r="AP125" s="391">
        <f>(1+6*(SIN(RADIANS(O122))))*I119</f>
        <v>78.63961030678927</v>
      </c>
      <c r="AQ125" s="391"/>
      <c r="AR125" s="391">
        <f>(1+6*(SIN(RADIANS(O128))))*I119</f>
        <v>59.99999999999999</v>
      </c>
      <c r="AS125" s="391"/>
      <c r="AT125" s="391"/>
      <c r="AU125" s="391"/>
    </row>
    <row r="126" spans="2:47" ht="18">
      <c r="B126" s="155" t="s">
        <v>217</v>
      </c>
      <c r="C126" s="152"/>
      <c r="D126" s="159">
        <f>D127/((C128*(SIN(RADIANS(O122)))^2)+(COS(RADIANS(O122)))^2)</f>
        <v>34.112</v>
      </c>
      <c r="E126" s="152"/>
      <c r="F126" s="152"/>
      <c r="G126" s="152"/>
      <c r="H126" s="152"/>
      <c r="I126" s="152"/>
      <c r="J126" s="152"/>
      <c r="K126" s="153" t="s">
        <v>178</v>
      </c>
      <c r="L126" s="152"/>
      <c r="M126" s="152"/>
      <c r="N126" s="152"/>
      <c r="O126" s="152">
        <f>HLOOKUP(O125,'Propiedades_bases cálculo'!C9:AD24,10,FALSE)</f>
        <v>500</v>
      </c>
      <c r="P126" s="152"/>
      <c r="V126" s="97"/>
      <c r="W126" s="145"/>
      <c r="X126" s="145"/>
      <c r="Y126" s="145"/>
      <c r="Z126" s="145"/>
      <c r="AA126" s="146"/>
      <c r="AB126" s="146"/>
      <c r="AC126" s="147"/>
      <c r="AD126" s="147"/>
      <c r="AE126" s="147"/>
      <c r="AF126" s="147"/>
      <c r="AG126" s="97"/>
      <c r="AH126" s="97"/>
      <c r="AN126" s="391"/>
      <c r="AO126" s="391"/>
      <c r="AP126" s="391">
        <f>4*I119</f>
        <v>60</v>
      </c>
      <c r="AQ126" s="391"/>
      <c r="AR126" s="391">
        <f>4*I119</f>
        <v>60</v>
      </c>
      <c r="AS126" s="391"/>
      <c r="AT126" s="391"/>
      <c r="AU126" s="391"/>
    </row>
    <row r="127" spans="2:47" ht="18">
      <c r="B127" s="155" t="s">
        <v>220</v>
      </c>
      <c r="C127" s="152"/>
      <c r="D127" s="159">
        <f>0.082*(1-(0.01*I119))*O120</f>
        <v>36.244</v>
      </c>
      <c r="E127" s="152"/>
      <c r="F127" s="152"/>
      <c r="G127" s="152"/>
      <c r="H127" s="152"/>
      <c r="I127" s="152"/>
      <c r="J127" s="152"/>
      <c r="K127" s="152" t="s">
        <v>213</v>
      </c>
      <c r="L127" s="152"/>
      <c r="M127" s="152"/>
      <c r="N127" s="152"/>
      <c r="O127" s="386">
        <v>100</v>
      </c>
      <c r="P127" s="152"/>
      <c r="V127" s="9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97"/>
      <c r="AH127" s="97"/>
      <c r="AN127" s="391"/>
      <c r="AO127" s="391"/>
      <c r="AP127" s="391">
        <f>(1+6*(SIN(RADIANS(O122))))*I119</f>
        <v>78.63961030678927</v>
      </c>
      <c r="AQ127" s="391"/>
      <c r="AR127" s="391">
        <f>(1+6*(SIN(RADIANS(O128))))*I119</f>
        <v>59.99999999999999</v>
      </c>
      <c r="AS127" s="391"/>
      <c r="AT127" s="391"/>
      <c r="AU127" s="391"/>
    </row>
    <row r="128" spans="2:47" ht="18">
      <c r="B128" s="160" t="s">
        <v>396</v>
      </c>
      <c r="C128" s="152">
        <f>IF(AND(O120&gt;=290,O120&lt;=460),1.35+(0.015*I119),0.9+(0.015*I119))</f>
        <v>1.125</v>
      </c>
      <c r="D128" s="152"/>
      <c r="E128" s="152"/>
      <c r="F128" s="152"/>
      <c r="G128" s="152"/>
      <c r="H128" s="152"/>
      <c r="I128" s="152"/>
      <c r="J128" s="152"/>
      <c r="K128" s="153" t="s">
        <v>200</v>
      </c>
      <c r="L128" s="152"/>
      <c r="M128" s="152"/>
      <c r="N128" s="152"/>
      <c r="O128" s="388">
        <v>30</v>
      </c>
      <c r="P128" s="152"/>
      <c r="V128" s="9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97"/>
      <c r="AH128" s="97"/>
      <c r="AN128" s="391"/>
      <c r="AO128" s="391" t="s">
        <v>367</v>
      </c>
      <c r="AP128" s="391">
        <f>MAX((2+(2*SIN(RADIANS(O122))))*I119,3*I119)</f>
        <v>51.21320343559643</v>
      </c>
      <c r="AQ128" s="391"/>
      <c r="AR128" s="391">
        <f>MAX((2+(2*SIN(RADIANS(O128))))*I119,3*I119)</f>
        <v>45</v>
      </c>
      <c r="AS128" s="391"/>
      <c r="AT128" s="391"/>
      <c r="AU128" s="391"/>
    </row>
    <row r="129" spans="2:47" ht="18">
      <c r="B129" s="155" t="s">
        <v>397</v>
      </c>
      <c r="C129" s="152"/>
      <c r="D129" s="159">
        <f>D130/((C131*(SIN(RADIANS(O128)))^2)+(COS(RADIANS(O128)))^2)</f>
        <v>33.7939393939394</v>
      </c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N129" s="391"/>
      <c r="AO129" s="391" t="s">
        <v>368</v>
      </c>
      <c r="AP129" s="391">
        <f>3*I119</f>
        <v>45</v>
      </c>
      <c r="AQ129" s="391"/>
      <c r="AR129" s="391">
        <f>3*I119</f>
        <v>45</v>
      </c>
      <c r="AS129" s="391"/>
      <c r="AT129" s="391"/>
      <c r="AU129" s="391"/>
    </row>
    <row r="130" spans="2:47" ht="18">
      <c r="B130" s="155" t="s">
        <v>220</v>
      </c>
      <c r="C130" s="152"/>
      <c r="D130" s="159">
        <f>0.082*(1-(0.01*I119))*O126</f>
        <v>34.85</v>
      </c>
      <c r="E130" s="152"/>
      <c r="F130" s="152"/>
      <c r="G130" s="152"/>
      <c r="H130" s="152"/>
      <c r="I130" s="152"/>
      <c r="J130" s="152"/>
      <c r="K130" s="155" t="s">
        <v>421</v>
      </c>
      <c r="L130" s="152"/>
      <c r="M130" s="152"/>
      <c r="N130" s="152"/>
      <c r="O130" s="386">
        <v>20000</v>
      </c>
      <c r="P130" s="152"/>
      <c r="R130" t="s">
        <v>283</v>
      </c>
      <c r="U130" t="s">
        <v>284</v>
      </c>
      <c r="V130" s="97"/>
      <c r="W130" s="97"/>
      <c r="X130" t="s">
        <v>285</v>
      </c>
      <c r="Y130" s="97"/>
      <c r="Z130" s="97"/>
      <c r="AA130" t="s">
        <v>286</v>
      </c>
      <c r="AB130" s="97"/>
      <c r="AC130" s="97"/>
      <c r="AD130" s="97"/>
      <c r="AE130" s="97"/>
      <c r="AF130" s="97"/>
      <c r="AG130" s="97"/>
      <c r="AH130" s="97"/>
      <c r="AN130" s="391"/>
      <c r="AO130" s="391"/>
      <c r="AP130" s="391"/>
      <c r="AQ130" s="391"/>
      <c r="AR130" s="391"/>
      <c r="AS130" s="391"/>
      <c r="AT130" s="391"/>
      <c r="AU130" s="391"/>
    </row>
    <row r="131" spans="2:47" ht="18">
      <c r="B131" s="160" t="s">
        <v>398</v>
      </c>
      <c r="C131" s="152">
        <f>IF(AND(O126&gt;=290,O126&lt;=460),1.35+(0.015*I119),0.9+(0.015*I119))</f>
        <v>1.125</v>
      </c>
      <c r="D131" s="152"/>
      <c r="E131" s="152"/>
      <c r="F131" s="152"/>
      <c r="G131" s="152"/>
      <c r="H131" s="152"/>
      <c r="I131" s="152"/>
      <c r="J131" s="152"/>
      <c r="K131" s="153" t="s">
        <v>203</v>
      </c>
      <c r="L131" s="152"/>
      <c r="M131" s="152"/>
      <c r="N131" s="152"/>
      <c r="O131" s="386">
        <v>3</v>
      </c>
      <c r="P131" s="152"/>
      <c r="U131" s="170" t="s">
        <v>416</v>
      </c>
      <c r="V131" s="97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97"/>
      <c r="AH131" s="97"/>
      <c r="AN131" s="391"/>
      <c r="AO131" s="391"/>
      <c r="AP131" s="391"/>
      <c r="AQ131" s="391"/>
      <c r="AR131" s="391"/>
      <c r="AS131" s="391"/>
      <c r="AT131" s="391"/>
      <c r="AU131" s="391"/>
    </row>
    <row r="132" spans="2:47" ht="15">
      <c r="B132" s="152"/>
      <c r="C132" s="152"/>
      <c r="D132" s="152"/>
      <c r="E132" s="152"/>
      <c r="F132" s="152"/>
      <c r="G132" s="152"/>
      <c r="H132" s="152"/>
      <c r="I132" s="152"/>
      <c r="J132" s="152"/>
      <c r="K132" s="152" t="s">
        <v>206</v>
      </c>
      <c r="L132" s="152"/>
      <c r="M132" s="152"/>
      <c r="N132" s="152"/>
      <c r="O132" s="386" t="s">
        <v>68</v>
      </c>
      <c r="P132" s="152"/>
      <c r="V132" s="97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97"/>
      <c r="AH132" s="97"/>
      <c r="AN132" s="391"/>
      <c r="AO132" s="391" t="s">
        <v>393</v>
      </c>
      <c r="AP132" s="391"/>
      <c r="AQ132" s="391"/>
      <c r="AR132" s="391"/>
      <c r="AS132" s="391"/>
      <c r="AT132" s="391"/>
      <c r="AU132" s="391"/>
    </row>
    <row r="133" spans="2:47" ht="18">
      <c r="B133" s="156" t="s">
        <v>210</v>
      </c>
      <c r="C133" s="154">
        <f>D129/D126</f>
        <v>0.9906759906759907</v>
      </c>
      <c r="D133" s="152"/>
      <c r="E133" s="152"/>
      <c r="F133" s="152"/>
      <c r="G133" s="152"/>
      <c r="H133" s="152"/>
      <c r="I133" s="152"/>
      <c r="J133" s="152"/>
      <c r="K133" s="155" t="s">
        <v>207</v>
      </c>
      <c r="L133" s="152"/>
      <c r="M133" s="152"/>
      <c r="N133" s="152"/>
      <c r="O133" s="152">
        <f>INDEX('Propiedades_bases cálculo'!B29:G32,MATCH('UNIONES MADERA-MADERA'!O131,'Propiedades_bases cálculo'!B29:B32,0),MATCH('UNIONES MADERA-MADERA'!O132,'Propiedades_bases cálculo'!B29:G29,0))</f>
        <v>0.65</v>
      </c>
      <c r="P133" s="152"/>
      <c r="V133" s="9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97"/>
      <c r="AH133" s="97"/>
      <c r="AN133" s="391"/>
      <c r="AO133" s="391"/>
      <c r="AP133" s="391"/>
      <c r="AQ133" s="391"/>
      <c r="AR133" s="391"/>
      <c r="AS133" s="391"/>
      <c r="AT133" s="391"/>
      <c r="AU133" s="391"/>
    </row>
    <row r="134" spans="2:47" ht="18">
      <c r="B134" s="152"/>
      <c r="C134" s="152"/>
      <c r="D134" s="152"/>
      <c r="E134" s="152"/>
      <c r="F134" s="152"/>
      <c r="G134" s="152"/>
      <c r="H134" s="152"/>
      <c r="I134" s="152"/>
      <c r="J134" s="152"/>
      <c r="K134" s="158" t="s">
        <v>205</v>
      </c>
      <c r="L134" s="152"/>
      <c r="M134" s="152"/>
      <c r="N134" s="152"/>
      <c r="O134" s="152">
        <v>1.3</v>
      </c>
      <c r="P134" s="152"/>
      <c r="V134" s="9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97"/>
      <c r="AH134" s="97"/>
      <c r="AN134" s="391"/>
      <c r="AO134" s="391"/>
      <c r="AP134" s="391" t="s">
        <v>369</v>
      </c>
      <c r="AQ134" s="391"/>
      <c r="AR134" s="391" t="s">
        <v>383</v>
      </c>
      <c r="AS134" s="391"/>
      <c r="AT134" s="391"/>
      <c r="AU134" s="391"/>
    </row>
    <row r="135" spans="18:47" ht="15">
      <c r="R135" s="175" t="s">
        <v>392</v>
      </c>
      <c r="Z135" s="147"/>
      <c r="AA135" s="1" t="s">
        <v>414</v>
      </c>
      <c r="AD135" s="147"/>
      <c r="AE135" s="147"/>
      <c r="AF135" s="147"/>
      <c r="AG135" s="97"/>
      <c r="AH135" s="97"/>
      <c r="AN135" s="391"/>
      <c r="AO135" s="391" t="s">
        <v>363</v>
      </c>
      <c r="AP135" s="391">
        <f>(3+(2*ABS(COS(RADIANS(O122)))))*I119</f>
        <v>66.21320343559643</v>
      </c>
      <c r="AQ135" s="391"/>
      <c r="AR135" s="391">
        <f>(3+(2*ABS(COS(RADIANS(O128)))))*I119</f>
        <v>70.98076211353316</v>
      </c>
      <c r="AS135" s="391"/>
      <c r="AT135" s="391"/>
      <c r="AU135" s="391"/>
    </row>
    <row r="136" spans="2:47" ht="20.25">
      <c r="B136" s="131" t="s">
        <v>215</v>
      </c>
      <c r="S136" s="174" t="s">
        <v>385</v>
      </c>
      <c r="T136" s="174" t="s">
        <v>386</v>
      </c>
      <c r="U136" s="174" t="s">
        <v>387</v>
      </c>
      <c r="V136" s="174" t="s">
        <v>388</v>
      </c>
      <c r="W136" s="174" t="s">
        <v>389</v>
      </c>
      <c r="X136" s="174" t="s">
        <v>390</v>
      </c>
      <c r="Z136" s="145"/>
      <c r="AA136" s="185" t="s">
        <v>328</v>
      </c>
      <c r="AB136" s="129" t="s">
        <v>413</v>
      </c>
      <c r="AC136" s="129"/>
      <c r="AD136" s="147"/>
      <c r="AE136" s="147"/>
      <c r="AF136" s="147"/>
      <c r="AG136" s="97"/>
      <c r="AH136" s="97"/>
      <c r="AN136" s="391"/>
      <c r="AO136" s="391" t="s">
        <v>364</v>
      </c>
      <c r="AP136" s="391">
        <f>3*I119</f>
        <v>45</v>
      </c>
      <c r="AQ136" s="391"/>
      <c r="AR136" s="391">
        <f>3*I119</f>
        <v>45</v>
      </c>
      <c r="AS136" s="391"/>
      <c r="AT136" s="391"/>
      <c r="AU136" s="391"/>
    </row>
    <row r="137" spans="2:47" ht="15">
      <c r="B137" t="s">
        <v>189</v>
      </c>
      <c r="R137" s="155" t="s">
        <v>369</v>
      </c>
      <c r="S137" s="171">
        <f>AP122</f>
        <v>70.60660171779821</v>
      </c>
      <c r="T137" s="171">
        <f>AP123</f>
        <v>60</v>
      </c>
      <c r="U137" s="171">
        <f>AP124</f>
        <v>105</v>
      </c>
      <c r="V137" s="171">
        <f>IF(150&lt;=O122&lt;210,AP126,AP125)</f>
        <v>78.63961030678927</v>
      </c>
      <c r="W137" s="171">
        <f>AP128</f>
        <v>51.21320343559643</v>
      </c>
      <c r="X137" s="171">
        <f>AP129</f>
        <v>45</v>
      </c>
      <c r="Y137" s="160" t="s">
        <v>369</v>
      </c>
      <c r="Z137" s="145"/>
      <c r="AA137" s="171">
        <f>I119+1</f>
        <v>16</v>
      </c>
      <c r="AB137" s="152">
        <f>I119</f>
        <v>15</v>
      </c>
      <c r="AC137" t="s">
        <v>412</v>
      </c>
      <c r="AD137" s="147"/>
      <c r="AE137" s="147"/>
      <c r="AF137" s="147"/>
      <c r="AG137" s="97"/>
      <c r="AH137" s="97"/>
      <c r="AN137" s="391"/>
      <c r="AO137" s="391" t="s">
        <v>365</v>
      </c>
      <c r="AP137" s="391">
        <f>MAX(7*I119,80)</f>
        <v>105</v>
      </c>
      <c r="AQ137" s="391"/>
      <c r="AR137" s="391">
        <f>MAX(7*I119,80)</f>
        <v>105</v>
      </c>
      <c r="AS137" s="391"/>
      <c r="AT137" s="391"/>
      <c r="AU137" s="391"/>
    </row>
    <row r="138" spans="2:47" ht="18">
      <c r="B138" t="s">
        <v>183</v>
      </c>
      <c r="C138" t="s">
        <v>192</v>
      </c>
      <c r="D138" s="130">
        <f>D126*O121*I119</f>
        <v>51168.00000000001</v>
      </c>
      <c r="R138" s="173" t="s">
        <v>383</v>
      </c>
      <c r="S138" s="172">
        <f>AR122</f>
        <v>72.99038105676658</v>
      </c>
      <c r="T138" s="172">
        <f>AR123</f>
        <v>60</v>
      </c>
      <c r="U138" s="172">
        <f>AR124</f>
        <v>105</v>
      </c>
      <c r="V138" s="172">
        <f>IF(150&lt;=O128&lt;210,AR126,AR125)</f>
        <v>59.99999999999999</v>
      </c>
      <c r="W138" s="172">
        <f>AR128</f>
        <v>45</v>
      </c>
      <c r="X138" s="172">
        <f>AR129</f>
        <v>45</v>
      </c>
      <c r="Y138" s="179" t="s">
        <v>383</v>
      </c>
      <c r="Z138" s="145"/>
      <c r="AA138" s="183">
        <f>I119+1</f>
        <v>16</v>
      </c>
      <c r="AB138" s="184">
        <f>I119</f>
        <v>15</v>
      </c>
      <c r="AC138" t="s">
        <v>412</v>
      </c>
      <c r="AD138" s="147"/>
      <c r="AE138" s="147"/>
      <c r="AF138" s="147"/>
      <c r="AG138" s="97"/>
      <c r="AH138" s="97"/>
      <c r="AN138" s="391"/>
      <c r="AO138" s="391" t="s">
        <v>366</v>
      </c>
      <c r="AP138" s="391">
        <f>MAX(AP137*ABS(SIN(RADIANS(O122)))*I119,3*I119)</f>
        <v>1113.6931803688121</v>
      </c>
      <c r="AQ138" s="391"/>
      <c r="AR138" s="391">
        <f>MAX(AR137*ABS(SIN(RADIANS(O128)))*I119,3*I119)</f>
        <v>787.4999999999999</v>
      </c>
      <c r="AS138" s="391"/>
      <c r="AT138" s="391"/>
      <c r="AU138" s="391"/>
    </row>
    <row r="139" spans="2:47" ht="18">
      <c r="B139" t="s">
        <v>184</v>
      </c>
      <c r="C139" t="s">
        <v>192</v>
      </c>
      <c r="D139" s="130">
        <f>0.5*D130*O127*I119</f>
        <v>26137.5</v>
      </c>
      <c r="Z139" s="147"/>
      <c r="AA139" s="147"/>
      <c r="AB139" s="147"/>
      <c r="AC139" s="147"/>
      <c r="AD139" s="147"/>
      <c r="AE139" s="147"/>
      <c r="AF139" s="147"/>
      <c r="AG139" s="97"/>
      <c r="AH139" s="97"/>
      <c r="AN139" s="391"/>
      <c r="AO139" s="391"/>
      <c r="AP139" s="391">
        <f>3*I119</f>
        <v>45</v>
      </c>
      <c r="AQ139" s="391"/>
      <c r="AR139" s="391">
        <f>3*I119</f>
        <v>45</v>
      </c>
      <c r="AS139" s="391"/>
      <c r="AT139" s="391"/>
      <c r="AU139" s="391"/>
    </row>
    <row r="140" spans="2:47" ht="18">
      <c r="B140" t="s">
        <v>185</v>
      </c>
      <c r="C140" t="s">
        <v>192</v>
      </c>
      <c r="D140" s="130">
        <f>(1.05*D126*O121*I119/(2+C133))*((2*C133*(1+C133)+(4*C133*(2+C133)*F123)/(D126*I119*O121*O121))^0.5-C133)</f>
        <v>18732.290677219346</v>
      </c>
      <c r="R140" s="175" t="s">
        <v>332</v>
      </c>
      <c r="Z140" s="147"/>
      <c r="AA140" s="147"/>
      <c r="AB140" s="147"/>
      <c r="AC140" s="147"/>
      <c r="AD140" s="147"/>
      <c r="AE140" s="147"/>
      <c r="AF140" s="147"/>
      <c r="AG140" s="97"/>
      <c r="AH140" s="97"/>
      <c r="AN140" s="391"/>
      <c r="AO140" s="391"/>
      <c r="AP140" s="391">
        <f>MAX(AP137*ABS(SIN(RADIANS(O122)))*I119,3*I119)</f>
        <v>1113.6931803688121</v>
      </c>
      <c r="AQ140" s="391"/>
      <c r="AR140" s="391">
        <f>MAX(AR137*ABS(SIN(RADIANS(O128)))*I119,3*I119)</f>
        <v>787.4999999999999</v>
      </c>
      <c r="AS140" s="391"/>
      <c r="AT140" s="391"/>
      <c r="AU140" s="391"/>
    </row>
    <row r="141" spans="2:47" ht="20.25">
      <c r="B141" t="s">
        <v>186</v>
      </c>
      <c r="C141" t="s">
        <v>192</v>
      </c>
      <c r="D141" s="130">
        <f>1.15*(((2*C133)/(1+C133))^0.5)*((2*F123*D126*I119)^0.5)</f>
        <v>10526.34189374805</v>
      </c>
      <c r="S141" s="174" t="s">
        <v>385</v>
      </c>
      <c r="T141" s="174" t="s">
        <v>386</v>
      </c>
      <c r="U141" s="174" t="s">
        <v>387</v>
      </c>
      <c r="V141" s="174" t="s">
        <v>388</v>
      </c>
      <c r="W141" s="174" t="s">
        <v>389</v>
      </c>
      <c r="X141" s="174" t="s">
        <v>390</v>
      </c>
      <c r="AA141" s="1" t="s">
        <v>414</v>
      </c>
      <c r="AN141" s="391"/>
      <c r="AO141" s="391" t="s">
        <v>367</v>
      </c>
      <c r="AP141" s="391">
        <f>MAX((2+(2*SIN(RADIANS(O128))))*I119,3*I119)</f>
        <v>45</v>
      </c>
      <c r="AQ141" s="391"/>
      <c r="AR141" s="391">
        <f>MAX((2+(2*SIN(RADIANS(O128))))*I119,3*I119)</f>
        <v>45</v>
      </c>
      <c r="AS141" s="391"/>
      <c r="AT141" s="391"/>
      <c r="AU141" s="391"/>
    </row>
    <row r="142" spans="18:47" ht="15">
      <c r="R142" s="155" t="s">
        <v>369</v>
      </c>
      <c r="S142" s="171">
        <f>AP135</f>
        <v>66.21320343559643</v>
      </c>
      <c r="T142" s="171">
        <f>AP136</f>
        <v>45</v>
      </c>
      <c r="U142" s="171">
        <f>AP137</f>
        <v>105</v>
      </c>
      <c r="V142" s="171">
        <f>IF(150&lt;=O122&lt;210,AP139,AP138)</f>
        <v>1113.6931803688121</v>
      </c>
      <c r="W142" s="171">
        <f>AP141</f>
        <v>45</v>
      </c>
      <c r="X142" s="171">
        <f>AP142</f>
        <v>45</v>
      </c>
      <c r="Y142" s="160" t="s">
        <v>369</v>
      </c>
      <c r="AA142" s="180">
        <f>IF(O120&lt;=460,0.75*I119,0.9*I119)</f>
        <v>13.5</v>
      </c>
      <c r="AB142" t="s">
        <v>412</v>
      </c>
      <c r="AN142" s="391"/>
      <c r="AO142" s="391" t="s">
        <v>368</v>
      </c>
      <c r="AP142" s="391">
        <f>3*I119</f>
        <v>45</v>
      </c>
      <c r="AQ142" s="391"/>
      <c r="AR142" s="391">
        <f>3*I119</f>
        <v>45</v>
      </c>
      <c r="AS142" s="391"/>
      <c r="AT142" s="391"/>
      <c r="AU142" s="391"/>
    </row>
    <row r="143" spans="3:47" ht="18">
      <c r="C143" s="1" t="s">
        <v>191</v>
      </c>
      <c r="D143" s="130">
        <f>MIN(D138:D141)</f>
        <v>10526.34189374805</v>
      </c>
      <c r="R143" s="173" t="s">
        <v>383</v>
      </c>
      <c r="S143" s="172">
        <f>AR135</f>
        <v>70.98076211353316</v>
      </c>
      <c r="T143" s="172">
        <f>AR136</f>
        <v>45</v>
      </c>
      <c r="U143" s="172">
        <f>AR137</f>
        <v>105</v>
      </c>
      <c r="V143" s="172">
        <f>IF(150&lt;=O128&lt;210,AR139,AR138)</f>
        <v>787.4999999999999</v>
      </c>
      <c r="W143" s="172">
        <f>AR141</f>
        <v>45</v>
      </c>
      <c r="X143" s="172">
        <f>AR142</f>
        <v>45</v>
      </c>
      <c r="Y143" s="179" t="s">
        <v>383</v>
      </c>
      <c r="AA143" s="183">
        <f>IF(O126&lt;=460,0.75*I119,0.9*I119)</f>
        <v>13.5</v>
      </c>
      <c r="AB143" t="s">
        <v>412</v>
      </c>
      <c r="AN143" s="391"/>
      <c r="AO143" s="391"/>
      <c r="AP143" s="391"/>
      <c r="AQ143" s="391"/>
      <c r="AR143" s="391"/>
      <c r="AS143" s="391"/>
      <c r="AT143" s="391"/>
      <c r="AU143" s="391"/>
    </row>
    <row r="144" spans="3:47" ht="18">
      <c r="C144" s="1" t="s">
        <v>190</v>
      </c>
      <c r="D144">
        <f>D143*O133/O134</f>
        <v>5263.170946874025</v>
      </c>
      <c r="AN144" s="391"/>
      <c r="AO144" s="391"/>
      <c r="AP144" s="391"/>
      <c r="AQ144" s="391"/>
      <c r="AR144" s="391"/>
      <c r="AS144" s="391"/>
      <c r="AT144" s="391"/>
      <c r="AU144" s="391"/>
    </row>
    <row r="145" spans="3:6" ht="18">
      <c r="C145" s="1" t="s">
        <v>214</v>
      </c>
      <c r="F145">
        <f>2*D144</f>
        <v>10526.34189374805</v>
      </c>
    </row>
    <row r="146" spans="3:6" ht="15">
      <c r="C146" s="1" t="s">
        <v>202</v>
      </c>
      <c r="F146" s="1">
        <f>O130/F145</f>
        <v>1.899995288190162</v>
      </c>
    </row>
    <row r="150" ht="21">
      <c r="B150" s="135" t="s">
        <v>221</v>
      </c>
    </row>
    <row r="152" s="141" customFormat="1" ht="18.75">
      <c r="B152" s="140" t="s">
        <v>274</v>
      </c>
    </row>
    <row r="154" spans="2:13" ht="18.75">
      <c r="B154" s="139" t="s">
        <v>222</v>
      </c>
      <c r="M154" s="139" t="s">
        <v>281</v>
      </c>
    </row>
    <row r="156" spans="2:26" ht="15">
      <c r="B156" t="s">
        <v>227</v>
      </c>
      <c r="F156">
        <v>2</v>
      </c>
      <c r="M156" s="368" t="s">
        <v>265</v>
      </c>
      <c r="N156" s="368"/>
      <c r="O156" s="368"/>
      <c r="P156" s="367" t="s">
        <v>288</v>
      </c>
      <c r="Q156" s="367"/>
      <c r="R156" s="369" t="s">
        <v>264</v>
      </c>
      <c r="S156" s="369"/>
      <c r="T156" s="369"/>
      <c r="U156" s="369"/>
      <c r="V156" s="369"/>
      <c r="W156" s="369"/>
      <c r="X156" s="369"/>
      <c r="Y156" s="369"/>
      <c r="Z156" s="369"/>
    </row>
    <row r="157" spans="2:26" ht="15">
      <c r="B157" t="s">
        <v>224</v>
      </c>
      <c r="E157" s="134"/>
      <c r="F157" s="134" t="s">
        <v>223</v>
      </c>
      <c r="M157" s="368"/>
      <c r="N157" s="368"/>
      <c r="O157" s="368"/>
      <c r="P157" s="367"/>
      <c r="Q157" s="367"/>
      <c r="R157" s="369" t="s">
        <v>267</v>
      </c>
      <c r="S157" s="369"/>
      <c r="T157" s="369"/>
      <c r="U157" s="369"/>
      <c r="V157" s="369"/>
      <c r="W157" s="369"/>
      <c r="X157" s="370" t="s">
        <v>266</v>
      </c>
      <c r="Y157" s="371"/>
      <c r="Z157" s="372"/>
    </row>
    <row r="158" spans="2:26" ht="18.75">
      <c r="B158" t="s">
        <v>225</v>
      </c>
      <c r="E158" s="134"/>
      <c r="F158" s="134" t="s">
        <v>226</v>
      </c>
      <c r="M158" s="368"/>
      <c r="N158" s="368"/>
      <c r="O158" s="368"/>
      <c r="P158" s="367"/>
      <c r="Q158" s="367"/>
      <c r="R158" s="369" t="s">
        <v>268</v>
      </c>
      <c r="S158" s="369"/>
      <c r="T158" s="369"/>
      <c r="U158" s="369" t="s">
        <v>269</v>
      </c>
      <c r="V158" s="369"/>
      <c r="W158" s="369"/>
      <c r="X158" s="373"/>
      <c r="Y158" s="374"/>
      <c r="Z158" s="375"/>
    </row>
    <row r="159" spans="13:26" ht="18" customHeight="1">
      <c r="M159" s="367" t="s">
        <v>247</v>
      </c>
      <c r="N159" s="367"/>
      <c r="O159" s="367"/>
      <c r="P159" s="367" t="s">
        <v>242</v>
      </c>
      <c r="Q159" s="367"/>
      <c r="R159" s="368" t="s">
        <v>270</v>
      </c>
      <c r="S159" s="368"/>
      <c r="T159" s="368"/>
      <c r="U159" s="367" t="s">
        <v>256</v>
      </c>
      <c r="V159" s="367"/>
      <c r="W159" s="367"/>
      <c r="X159" s="367" t="s">
        <v>260</v>
      </c>
      <c r="Y159" s="367"/>
      <c r="Z159" s="367"/>
    </row>
    <row r="160" spans="2:26" ht="15">
      <c r="B160" t="s">
        <v>228</v>
      </c>
      <c r="M160" s="367"/>
      <c r="N160" s="367"/>
      <c r="O160" s="367"/>
      <c r="P160" s="367"/>
      <c r="Q160" s="367"/>
      <c r="R160" s="368"/>
      <c r="S160" s="368"/>
      <c r="T160" s="368"/>
      <c r="U160" s="367"/>
      <c r="V160" s="367"/>
      <c r="W160" s="367"/>
      <c r="X160" s="367"/>
      <c r="Y160" s="367"/>
      <c r="Z160" s="367"/>
    </row>
    <row r="161" spans="3:26" ht="18">
      <c r="C161" s="138" t="s">
        <v>236</v>
      </c>
      <c r="M161" s="369" t="s">
        <v>248</v>
      </c>
      <c r="N161" s="369"/>
      <c r="O161" s="369"/>
      <c r="P161" s="369" t="s">
        <v>242</v>
      </c>
      <c r="Q161" s="369"/>
      <c r="R161" s="369" t="s">
        <v>253</v>
      </c>
      <c r="S161" s="369"/>
      <c r="T161" s="369"/>
      <c r="U161" s="369" t="s">
        <v>257</v>
      </c>
      <c r="V161" s="369"/>
      <c r="W161" s="369"/>
      <c r="X161" s="369" t="s">
        <v>261</v>
      </c>
      <c r="Y161" s="369"/>
      <c r="Z161" s="369"/>
    </row>
    <row r="162" spans="3:26" ht="18">
      <c r="C162" s="138" t="s">
        <v>230</v>
      </c>
      <c r="M162" s="369" t="s">
        <v>249</v>
      </c>
      <c r="N162" s="369"/>
      <c r="O162" s="369"/>
      <c r="P162" s="369" t="s">
        <v>243</v>
      </c>
      <c r="Q162" s="369"/>
      <c r="R162" s="369" t="s">
        <v>254</v>
      </c>
      <c r="S162" s="369"/>
      <c r="T162" s="369"/>
      <c r="U162" s="369" t="s">
        <v>258</v>
      </c>
      <c r="V162" s="369"/>
      <c r="W162" s="369"/>
      <c r="X162" s="369" t="s">
        <v>262</v>
      </c>
      <c r="Y162" s="369"/>
      <c r="Z162" s="369"/>
    </row>
    <row r="163" spans="13:26" ht="18">
      <c r="M163" s="369" t="s">
        <v>250</v>
      </c>
      <c r="N163" s="369"/>
      <c r="O163" s="369"/>
      <c r="P163" s="369" t="s">
        <v>244</v>
      </c>
      <c r="Q163" s="369"/>
      <c r="R163" s="369" t="s">
        <v>255</v>
      </c>
      <c r="S163" s="369"/>
      <c r="T163" s="369"/>
      <c r="U163" s="369" t="s">
        <v>259</v>
      </c>
      <c r="V163" s="369"/>
      <c r="W163" s="369"/>
      <c r="X163" s="369" t="s">
        <v>257</v>
      </c>
      <c r="Y163" s="369"/>
      <c r="Z163" s="369"/>
    </row>
    <row r="164" spans="4:26" ht="18">
      <c r="D164" t="s">
        <v>231</v>
      </c>
      <c r="M164" s="367" t="s">
        <v>251</v>
      </c>
      <c r="N164" s="367"/>
      <c r="O164" s="367"/>
      <c r="P164" s="367" t="s">
        <v>245</v>
      </c>
      <c r="Q164" s="367"/>
      <c r="R164" s="368" t="s">
        <v>271</v>
      </c>
      <c r="S164" s="368"/>
      <c r="T164" s="368"/>
      <c r="U164" s="368" t="s">
        <v>272</v>
      </c>
      <c r="V164" s="368"/>
      <c r="W164" s="368"/>
      <c r="X164" s="368" t="s">
        <v>273</v>
      </c>
      <c r="Y164" s="368"/>
      <c r="Z164" s="368"/>
    </row>
    <row r="165" spans="11:26" ht="18" customHeight="1">
      <c r="K165" s="97"/>
      <c r="M165" s="367"/>
      <c r="N165" s="367"/>
      <c r="O165" s="367"/>
      <c r="P165" s="367"/>
      <c r="Q165" s="367"/>
      <c r="R165" s="368"/>
      <c r="S165" s="368"/>
      <c r="T165" s="368"/>
      <c r="U165" s="368"/>
      <c r="V165" s="368"/>
      <c r="W165" s="368"/>
      <c r="X165" s="368"/>
      <c r="Y165" s="368"/>
      <c r="Z165" s="368"/>
    </row>
    <row r="166" spans="3:26" ht="18">
      <c r="C166" s="138" t="s">
        <v>229</v>
      </c>
      <c r="M166" s="142" t="s">
        <v>252</v>
      </c>
      <c r="N166" s="142"/>
      <c r="O166" s="142"/>
      <c r="P166" s="367" t="s">
        <v>246</v>
      </c>
      <c r="Q166" s="367"/>
      <c r="R166" s="369" t="s">
        <v>253</v>
      </c>
      <c r="S166" s="369"/>
      <c r="T166" s="369"/>
      <c r="U166" s="369" t="s">
        <v>257</v>
      </c>
      <c r="V166" s="369"/>
      <c r="W166" s="369"/>
      <c r="X166" s="369" t="s">
        <v>263</v>
      </c>
      <c r="Y166" s="369"/>
      <c r="Z166" s="369"/>
    </row>
    <row r="168" spans="2:29" ht="15">
      <c r="B168" t="s">
        <v>232</v>
      </c>
      <c r="AC168" t="s">
        <v>309</v>
      </c>
    </row>
    <row r="170" s="25" customFormat="1" ht="18.75">
      <c r="B170" s="143" t="s">
        <v>233</v>
      </c>
    </row>
    <row r="172" spans="2:6" ht="15">
      <c r="B172" t="s">
        <v>224</v>
      </c>
      <c r="F172" s="134" t="s">
        <v>234</v>
      </c>
    </row>
    <row r="173" spans="2:6" ht="15">
      <c r="B173" t="s">
        <v>276</v>
      </c>
      <c r="F173" s="134" t="s">
        <v>277</v>
      </c>
    </row>
    <row r="175" ht="15">
      <c r="B175" t="s">
        <v>228</v>
      </c>
    </row>
    <row r="176" ht="18">
      <c r="C176" s="138" t="s">
        <v>237</v>
      </c>
    </row>
    <row r="177" ht="15">
      <c r="C177" s="138" t="s">
        <v>238</v>
      </c>
    </row>
    <row r="182" ht="18">
      <c r="AC182" t="s">
        <v>310</v>
      </c>
    </row>
    <row r="185" spans="14:24" ht="15">
      <c r="N185" t="s">
        <v>283</v>
      </c>
      <c r="Q185" t="s">
        <v>284</v>
      </c>
      <c r="T185" t="s">
        <v>285</v>
      </c>
      <c r="X185" t="s">
        <v>286</v>
      </c>
    </row>
    <row r="187" s="141" customFormat="1" ht="18.75">
      <c r="B187" s="140" t="s">
        <v>275</v>
      </c>
    </row>
    <row r="189" spans="2:13" ht="18.75">
      <c r="B189" s="139" t="s">
        <v>241</v>
      </c>
      <c r="M189" s="139" t="s">
        <v>282</v>
      </c>
    </row>
    <row r="190" spans="2:6" ht="15">
      <c r="B190" t="s">
        <v>224</v>
      </c>
      <c r="F190" s="134" t="s">
        <v>239</v>
      </c>
    </row>
    <row r="191" spans="2:22" ht="15">
      <c r="B191" t="s">
        <v>225</v>
      </c>
      <c r="F191" s="134" t="s">
        <v>240</v>
      </c>
      <c r="M191" s="367" t="s">
        <v>287</v>
      </c>
      <c r="N191" s="367"/>
      <c r="O191" s="367"/>
      <c r="P191" s="367"/>
      <c r="Q191" s="367" t="s">
        <v>288</v>
      </c>
      <c r="R191" s="367"/>
      <c r="S191" s="367" t="s">
        <v>293</v>
      </c>
      <c r="T191" s="367"/>
      <c r="U191" s="367"/>
      <c r="V191" s="367"/>
    </row>
    <row r="192" spans="6:22" ht="15">
      <c r="F192" s="134"/>
      <c r="M192" s="367"/>
      <c r="N192" s="367"/>
      <c r="O192" s="367"/>
      <c r="P192" s="367"/>
      <c r="Q192" s="367"/>
      <c r="R192" s="367"/>
      <c r="S192" s="367"/>
      <c r="T192" s="367"/>
      <c r="U192" s="367"/>
      <c r="V192" s="367"/>
    </row>
    <row r="193" spans="2:22" ht="19.5">
      <c r="B193" s="139" t="s">
        <v>233</v>
      </c>
      <c r="M193" s="369" t="s">
        <v>299</v>
      </c>
      <c r="N193" s="369"/>
      <c r="O193" s="369"/>
      <c r="P193" s="369"/>
      <c r="Q193" s="369" t="s">
        <v>242</v>
      </c>
      <c r="R193" s="369"/>
      <c r="S193" s="369" t="s">
        <v>294</v>
      </c>
      <c r="T193" s="369"/>
      <c r="U193" s="369"/>
      <c r="V193" s="369"/>
    </row>
    <row r="194" spans="2:22" ht="18">
      <c r="B194" t="s">
        <v>278</v>
      </c>
      <c r="F194" s="134" t="s">
        <v>279</v>
      </c>
      <c r="M194" s="369" t="s">
        <v>300</v>
      </c>
      <c r="N194" s="369"/>
      <c r="O194" s="369"/>
      <c r="P194" s="369"/>
      <c r="Q194" s="369" t="s">
        <v>242</v>
      </c>
      <c r="R194" s="369"/>
      <c r="S194" s="369" t="s">
        <v>295</v>
      </c>
      <c r="T194" s="369"/>
      <c r="U194" s="369"/>
      <c r="V194" s="369"/>
    </row>
    <row r="195" spans="2:22" ht="18">
      <c r="B195" t="s">
        <v>280</v>
      </c>
      <c r="F195" s="134" t="s">
        <v>235</v>
      </c>
      <c r="M195" s="369" t="s">
        <v>301</v>
      </c>
      <c r="N195" s="369"/>
      <c r="O195" s="369"/>
      <c r="P195" s="369"/>
      <c r="Q195" s="369" t="s">
        <v>289</v>
      </c>
      <c r="R195" s="369"/>
      <c r="S195" s="369" t="s">
        <v>296</v>
      </c>
      <c r="T195" s="369"/>
      <c r="U195" s="369"/>
      <c r="V195" s="369"/>
    </row>
    <row r="196" spans="13:22" ht="15">
      <c r="M196" s="367" t="s">
        <v>302</v>
      </c>
      <c r="N196" s="367"/>
      <c r="O196" s="367"/>
      <c r="P196" s="367"/>
      <c r="Q196" s="368" t="s">
        <v>290</v>
      </c>
      <c r="R196" s="368"/>
      <c r="S196" s="369" t="s">
        <v>297</v>
      </c>
      <c r="T196" s="369"/>
      <c r="U196" s="369"/>
      <c r="V196" s="369"/>
    </row>
    <row r="197" spans="13:22" ht="15">
      <c r="M197" s="367"/>
      <c r="N197" s="367"/>
      <c r="O197" s="367"/>
      <c r="P197" s="367"/>
      <c r="Q197" s="368"/>
      <c r="R197" s="368"/>
      <c r="S197" s="369" t="s">
        <v>295</v>
      </c>
      <c r="T197" s="369"/>
      <c r="U197" s="369"/>
      <c r="V197" s="369"/>
    </row>
    <row r="198" spans="13:22" ht="15">
      <c r="M198" s="367"/>
      <c r="N198" s="367"/>
      <c r="O198" s="367"/>
      <c r="P198" s="367"/>
      <c r="Q198" s="368"/>
      <c r="R198" s="368"/>
      <c r="S198" s="369" t="s">
        <v>297</v>
      </c>
      <c r="T198" s="369"/>
      <c r="U198" s="369"/>
      <c r="V198" s="369"/>
    </row>
    <row r="199" spans="13:22" ht="18">
      <c r="M199" s="369" t="s">
        <v>303</v>
      </c>
      <c r="N199" s="369"/>
      <c r="O199" s="369"/>
      <c r="P199" s="369"/>
      <c r="Q199" s="369" t="s">
        <v>291</v>
      </c>
      <c r="R199" s="369"/>
      <c r="S199" s="369" t="s">
        <v>298</v>
      </c>
      <c r="T199" s="369"/>
      <c r="U199" s="369"/>
      <c r="V199" s="369"/>
    </row>
    <row r="200" spans="13:22" ht="18">
      <c r="M200" s="369" t="s">
        <v>304</v>
      </c>
      <c r="N200" s="369"/>
      <c r="O200" s="369"/>
      <c r="P200" s="369"/>
      <c r="Q200" s="369" t="s">
        <v>292</v>
      </c>
      <c r="R200" s="369"/>
      <c r="S200" s="369" t="s">
        <v>263</v>
      </c>
      <c r="T200" s="369"/>
      <c r="U200" s="369"/>
      <c r="V200" s="369"/>
    </row>
    <row r="203" ht="18.75">
      <c r="M203" s="139" t="s">
        <v>305</v>
      </c>
    </row>
    <row r="205" spans="13:22" ht="15">
      <c r="M205" s="367" t="s">
        <v>287</v>
      </c>
      <c r="N205" s="367"/>
      <c r="O205" s="367"/>
      <c r="P205" s="367"/>
      <c r="Q205" s="367" t="s">
        <v>288</v>
      </c>
      <c r="R205" s="367"/>
      <c r="S205" s="367" t="s">
        <v>293</v>
      </c>
      <c r="T205" s="367"/>
      <c r="U205" s="367"/>
      <c r="V205" s="367"/>
    </row>
    <row r="206" spans="13:22" ht="15">
      <c r="M206" s="367"/>
      <c r="N206" s="367"/>
      <c r="O206" s="367"/>
      <c r="P206" s="367"/>
      <c r="Q206" s="367"/>
      <c r="R206" s="367"/>
      <c r="S206" s="367"/>
      <c r="T206" s="367"/>
      <c r="U206" s="367"/>
      <c r="V206" s="367"/>
    </row>
    <row r="207" spans="13:22" ht="18">
      <c r="M207" s="369" t="s">
        <v>299</v>
      </c>
      <c r="N207" s="369"/>
      <c r="O207" s="369"/>
      <c r="P207" s="369"/>
      <c r="Q207" s="369" t="s">
        <v>242</v>
      </c>
      <c r="R207" s="369"/>
      <c r="S207" s="369" t="s">
        <v>306</v>
      </c>
      <c r="T207" s="369"/>
      <c r="U207" s="369"/>
      <c r="V207" s="369"/>
    </row>
    <row r="208" spans="13:22" ht="18">
      <c r="M208" s="369" t="s">
        <v>300</v>
      </c>
      <c r="N208" s="369"/>
      <c r="O208" s="369"/>
      <c r="P208" s="369"/>
      <c r="Q208" s="369" t="s">
        <v>242</v>
      </c>
      <c r="R208" s="369"/>
      <c r="S208" s="369" t="s">
        <v>263</v>
      </c>
      <c r="T208" s="369"/>
      <c r="U208" s="369"/>
      <c r="V208" s="369"/>
    </row>
    <row r="209" spans="13:22" ht="18">
      <c r="M209" s="369" t="s">
        <v>301</v>
      </c>
      <c r="N209" s="369"/>
      <c r="O209" s="369"/>
      <c r="P209" s="369"/>
      <c r="Q209" s="369" t="s">
        <v>289</v>
      </c>
      <c r="R209" s="369"/>
      <c r="S209" s="369" t="s">
        <v>296</v>
      </c>
      <c r="T209" s="369"/>
      <c r="U209" s="369"/>
      <c r="V209" s="369"/>
    </row>
    <row r="210" spans="13:22" ht="18">
      <c r="M210" s="367" t="s">
        <v>302</v>
      </c>
      <c r="N210" s="367"/>
      <c r="O210" s="367"/>
      <c r="P210" s="367"/>
      <c r="Q210" s="368" t="s">
        <v>290</v>
      </c>
      <c r="R210" s="368"/>
      <c r="S210" s="369" t="s">
        <v>307</v>
      </c>
      <c r="T210" s="369"/>
      <c r="U210" s="369"/>
      <c r="V210" s="369"/>
    </row>
    <row r="211" spans="13:22" ht="15">
      <c r="M211" s="367"/>
      <c r="N211" s="367"/>
      <c r="O211" s="367"/>
      <c r="P211" s="367"/>
      <c r="Q211" s="368"/>
      <c r="R211" s="368"/>
      <c r="S211" s="369" t="s">
        <v>263</v>
      </c>
      <c r="T211" s="369"/>
      <c r="U211" s="369"/>
      <c r="V211" s="369"/>
    </row>
    <row r="212" spans="13:22" ht="18">
      <c r="M212" s="367"/>
      <c r="N212" s="367"/>
      <c r="O212" s="367"/>
      <c r="P212" s="367"/>
      <c r="Q212" s="368"/>
      <c r="R212" s="368"/>
      <c r="S212" s="369" t="s">
        <v>307</v>
      </c>
      <c r="T212" s="369"/>
      <c r="U212" s="369"/>
      <c r="V212" s="369"/>
    </row>
    <row r="213" spans="13:22" ht="18">
      <c r="M213" s="369" t="s">
        <v>303</v>
      </c>
      <c r="N213" s="369"/>
      <c r="O213" s="369"/>
      <c r="P213" s="369"/>
      <c r="Q213" s="369" t="s">
        <v>291</v>
      </c>
      <c r="R213" s="369"/>
      <c r="S213" s="369" t="s">
        <v>298</v>
      </c>
      <c r="T213" s="369"/>
      <c r="U213" s="369"/>
      <c r="V213" s="369"/>
    </row>
    <row r="214" spans="13:22" ht="18">
      <c r="M214" s="369" t="s">
        <v>304</v>
      </c>
      <c r="N214" s="369"/>
      <c r="O214" s="369"/>
      <c r="P214" s="369"/>
      <c r="Q214" s="369" t="s">
        <v>292</v>
      </c>
      <c r="R214" s="369"/>
      <c r="S214" s="369" t="s">
        <v>263</v>
      </c>
      <c r="T214" s="369"/>
      <c r="U214" s="369"/>
      <c r="V214" s="369"/>
    </row>
    <row r="234" spans="12:22" ht="15">
      <c r="L234" t="s">
        <v>283</v>
      </c>
      <c r="O234" t="s">
        <v>284</v>
      </c>
      <c r="S234" t="s">
        <v>285</v>
      </c>
      <c r="V234" t="s">
        <v>286</v>
      </c>
    </row>
  </sheetData>
  <sheetProtection password="FF5A" sheet="1" objects="1" scenarios="1" selectLockedCells="1"/>
  <mergeCells count="92">
    <mergeCell ref="M213:P213"/>
    <mergeCell ref="Q213:R213"/>
    <mergeCell ref="S213:V213"/>
    <mergeCell ref="M214:P214"/>
    <mergeCell ref="Q214:R214"/>
    <mergeCell ref="S214:V214"/>
    <mergeCell ref="M209:P209"/>
    <mergeCell ref="Q209:R209"/>
    <mergeCell ref="S209:V209"/>
    <mergeCell ref="M210:P212"/>
    <mergeCell ref="Q210:R212"/>
    <mergeCell ref="S210:V210"/>
    <mergeCell ref="S211:V211"/>
    <mergeCell ref="S212:V212"/>
    <mergeCell ref="M207:P207"/>
    <mergeCell ref="Q207:R207"/>
    <mergeCell ref="S207:V207"/>
    <mergeCell ref="M208:P208"/>
    <mergeCell ref="Q208:R208"/>
    <mergeCell ref="S208:V208"/>
    <mergeCell ref="M205:P206"/>
    <mergeCell ref="Q205:R206"/>
    <mergeCell ref="S205:V206"/>
    <mergeCell ref="M199:P199"/>
    <mergeCell ref="M200:P200"/>
    <mergeCell ref="Q199:R199"/>
    <mergeCell ref="Q200:R200"/>
    <mergeCell ref="S199:V199"/>
    <mergeCell ref="S200:V200"/>
    <mergeCell ref="S191:V192"/>
    <mergeCell ref="M193:P193"/>
    <mergeCell ref="M194:P194"/>
    <mergeCell ref="Q193:R193"/>
    <mergeCell ref="Q194:R194"/>
    <mergeCell ref="U166:W166"/>
    <mergeCell ref="X166:Z166"/>
    <mergeCell ref="P166:Q166"/>
    <mergeCell ref="R166:T166"/>
    <mergeCell ref="Q196:R198"/>
    <mergeCell ref="M195:P195"/>
    <mergeCell ref="M196:P198"/>
    <mergeCell ref="S193:V193"/>
    <mergeCell ref="S194:V194"/>
    <mergeCell ref="S195:V195"/>
    <mergeCell ref="S196:V196"/>
    <mergeCell ref="S197:V197"/>
    <mergeCell ref="S198:V198"/>
    <mergeCell ref="Q195:R195"/>
    <mergeCell ref="M191:P192"/>
    <mergeCell ref="Q191:R192"/>
    <mergeCell ref="U161:W161"/>
    <mergeCell ref="X161:Z161"/>
    <mergeCell ref="X162:Z162"/>
    <mergeCell ref="R162:T162"/>
    <mergeCell ref="U162:W162"/>
    <mergeCell ref="R161:T161"/>
    <mergeCell ref="U163:W163"/>
    <mergeCell ref="X163:Z163"/>
    <mergeCell ref="R164:T165"/>
    <mergeCell ref="U164:W165"/>
    <mergeCell ref="X164:Z165"/>
    <mergeCell ref="R163:T163"/>
    <mergeCell ref="M164:O165"/>
    <mergeCell ref="P164:Q165"/>
    <mergeCell ref="B2:P2"/>
    <mergeCell ref="M156:O158"/>
    <mergeCell ref="P156:Q158"/>
    <mergeCell ref="M163:O163"/>
    <mergeCell ref="P159:Q160"/>
    <mergeCell ref="P161:Q161"/>
    <mergeCell ref="P162:Q162"/>
    <mergeCell ref="P163:Q163"/>
    <mergeCell ref="M159:O160"/>
    <mergeCell ref="M161:O161"/>
    <mergeCell ref="M162:O162"/>
    <mergeCell ref="E81:F81"/>
    <mergeCell ref="E82:F82"/>
    <mergeCell ref="C89:D89"/>
    <mergeCell ref="C90:D90"/>
    <mergeCell ref="X159:Z160"/>
    <mergeCell ref="U159:W160"/>
    <mergeCell ref="R159:T160"/>
    <mergeCell ref="R156:Z156"/>
    <mergeCell ref="X157:Z158"/>
    <mergeCell ref="R158:T158"/>
    <mergeCell ref="U158:W158"/>
    <mergeCell ref="R157:W157"/>
    <mergeCell ref="E7:F7"/>
    <mergeCell ref="E8:F8"/>
    <mergeCell ref="G14:H14"/>
    <mergeCell ref="C15:D15"/>
    <mergeCell ref="C16:D16"/>
  </mergeCells>
  <conditionalFormatting sqref="D31:D36">
    <cfRule type="cellIs" priority="5" dxfId="10" operator="equal">
      <formula>$D$38</formula>
    </cfRule>
    <cfRule type="cellIs" priority="4" dxfId="9" operator="equal">
      <formula>$D$38</formula>
    </cfRule>
  </conditionalFormatting>
  <conditionalFormatting sqref="D65:D70">
    <cfRule type="cellIs" priority="3" dxfId="0" operator="equal">
      <formula>$D$72</formula>
    </cfRule>
  </conditionalFormatting>
  <conditionalFormatting sqref="D105:D108">
    <cfRule type="cellIs" priority="2" dxfId="0" operator="equal">
      <formula>$D$110</formula>
    </cfRule>
  </conditionalFormatting>
  <conditionalFormatting sqref="D138:D141">
    <cfRule type="cellIs" priority="1" dxfId="0" operator="equal">
      <formula>$D$143</formula>
    </cfRule>
  </conditionalFormatting>
  <dataValidations count="8">
    <dataValidation type="list" allowBlank="1" showInputMessage="1" showErrorMessage="1" sqref="O94 O20 O58 O131">
      <formula1>SERVICIO</formula1>
    </dataValidation>
    <dataValidation type="list" allowBlank="1" showInputMessage="1" showErrorMessage="1" sqref="O95 O21 O59 O132">
      <formula1>DURACION</formula1>
    </dataValidation>
    <dataValidation type="list" allowBlank="1" showInputMessage="1" showErrorMessage="1" sqref="O125 O8 O14 O46 O52 O82 O88 O119">
      <formula1>CLASES2</formula1>
    </dataValidation>
    <dataValidation errorStyle="information" allowBlank="1" showInputMessage="1" showErrorMessage="1" sqref="H7"/>
    <dataValidation allowBlank="1" showInputMessage="1" showErrorMessage="1" prompt="fu,k mínima en clavos 600 N/mm2" sqref="H10 H84"/>
    <dataValidation type="list" allowBlank="1" showInputMessage="1" showErrorMessage="1" sqref="E7">
      <formula1>$AO$7:$AO$9</formula1>
    </dataValidation>
    <dataValidation type="list" allowBlank="1" showInputMessage="1" showErrorMessage="1" sqref="E81">
      <formula1>$AO$81:$AO$83</formula1>
    </dataValidation>
    <dataValidation allowBlank="1" showInputMessage="1" showErrorMessage="1" prompt="0º-90º" sqref="O1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M169"/>
  <sheetViews>
    <sheetView zoomScale="85" zoomScaleNormal="85" workbookViewId="0" topLeftCell="A33">
      <selection activeCell="H147" sqref="H147"/>
    </sheetView>
  </sheetViews>
  <sheetFormatPr defaultColWidth="6.7109375" defaultRowHeight="15" customHeight="1"/>
  <cols>
    <col min="3" max="3" width="8.57421875" style="0" customWidth="1"/>
    <col min="4" max="6" width="8.7109375" style="0" customWidth="1"/>
    <col min="7" max="7" width="9.57421875" style="0" bestFit="1" customWidth="1"/>
    <col min="9" max="9" width="8.7109375" style="0" bestFit="1" customWidth="1"/>
    <col min="11" max="11" width="8.421875" style="0" customWidth="1"/>
    <col min="14" max="14" width="7.8515625" style="0" customWidth="1"/>
    <col min="16" max="16" width="8.28125" style="0" customWidth="1"/>
    <col min="20" max="20" width="9.57421875" style="0" customWidth="1"/>
    <col min="50" max="50" width="6.8515625" style="0" bestFit="1" customWidth="1"/>
    <col min="51" max="51" width="7.421875" style="0" bestFit="1" customWidth="1"/>
    <col min="52" max="52" width="7.57421875" style="0" bestFit="1" customWidth="1"/>
    <col min="53" max="53" width="7.421875" style="0" bestFit="1" customWidth="1"/>
    <col min="54" max="55" width="6.8515625" style="0" bestFit="1" customWidth="1"/>
    <col min="57" max="58" width="6.8515625" style="0" bestFit="1" customWidth="1"/>
    <col min="60" max="60" width="6.8515625" style="0" bestFit="1" customWidth="1"/>
    <col min="62" max="63" width="6.8515625" style="0" bestFit="1" customWidth="1"/>
  </cols>
  <sheetData>
    <row r="2" spans="2:23" ht="21" customHeight="1">
      <c r="B2" s="376" t="s">
        <v>308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</row>
    <row r="3" spans="47:65" ht="15" customHeight="1"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</row>
    <row r="4" spans="2:65" s="139" customFormat="1" ht="15" customHeight="1">
      <c r="B4" s="135" t="s">
        <v>347</v>
      </c>
      <c r="AU4" s="400"/>
      <c r="AV4" s="400" t="s">
        <v>313</v>
      </c>
      <c r="AW4" s="400">
        <v>235</v>
      </c>
      <c r="AX4" s="400"/>
      <c r="AY4" s="400"/>
      <c r="AZ4" s="400"/>
      <c r="BA4" s="400"/>
      <c r="BB4" s="400"/>
      <c r="BC4" s="400"/>
      <c r="BD4" s="400"/>
      <c r="BE4" s="400"/>
      <c r="BF4" s="400"/>
      <c r="BG4" s="400"/>
      <c r="BH4" s="400"/>
      <c r="BI4" s="400"/>
      <c r="BJ4" s="400"/>
      <c r="BK4" s="400"/>
      <c r="BL4" s="400"/>
      <c r="BM4" s="400"/>
    </row>
    <row r="5" spans="47:65" ht="15" customHeight="1">
      <c r="AU5" s="391"/>
      <c r="AV5" s="391" t="s">
        <v>314</v>
      </c>
      <c r="AW5" s="391">
        <v>275</v>
      </c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391"/>
      <c r="BI5" s="391"/>
      <c r="BJ5" s="391"/>
      <c r="BK5" s="391"/>
      <c r="BL5" s="391"/>
      <c r="BM5" s="391"/>
    </row>
    <row r="6" spans="2:65" ht="15" customHeight="1">
      <c r="B6" s="133" t="s">
        <v>357</v>
      </c>
      <c r="K6" s="132" t="s">
        <v>177</v>
      </c>
      <c r="AU6" s="391"/>
      <c r="AV6" s="391" t="s">
        <v>315</v>
      </c>
      <c r="AW6" s="391">
        <v>355</v>
      </c>
      <c r="AX6" s="391"/>
      <c r="AY6" s="391"/>
      <c r="AZ6" s="391"/>
      <c r="BA6" s="391"/>
      <c r="BB6" s="391"/>
      <c r="BC6" s="391"/>
      <c r="BD6" s="391"/>
      <c r="BE6" s="391"/>
      <c r="BF6" s="391"/>
      <c r="BG6" s="391"/>
      <c r="BH6" s="391"/>
      <c r="BI6" s="391"/>
      <c r="BJ6" s="391"/>
      <c r="BK6" s="391"/>
      <c r="BL6" s="391"/>
      <c r="BM6" s="391"/>
    </row>
    <row r="7" spans="2:65" ht="15" customHeight="1"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AU7" s="391"/>
      <c r="AV7" s="391"/>
      <c r="AW7" s="391"/>
      <c r="AX7" s="391"/>
      <c r="AY7" s="391"/>
      <c r="AZ7" s="391"/>
      <c r="BA7" s="391"/>
      <c r="BB7" s="391"/>
      <c r="BC7" s="391"/>
      <c r="BD7" s="391"/>
      <c r="BE7" s="391"/>
      <c r="BF7" s="391"/>
      <c r="BG7" s="391"/>
      <c r="BH7" s="391"/>
      <c r="BI7" s="391"/>
      <c r="BJ7" s="391"/>
      <c r="BK7" s="391"/>
      <c r="BL7" s="391"/>
      <c r="BM7" s="391"/>
    </row>
    <row r="8" spans="2:65" ht="15" customHeight="1">
      <c r="B8" s="152" t="s">
        <v>318</v>
      </c>
      <c r="C8" s="152"/>
      <c r="D8" s="152"/>
      <c r="E8" s="398" t="s">
        <v>325</v>
      </c>
      <c r="F8" s="399"/>
      <c r="G8" s="152"/>
      <c r="H8" s="152"/>
      <c r="I8" s="162"/>
      <c r="J8" s="152"/>
      <c r="K8" s="152" t="s">
        <v>399</v>
      </c>
      <c r="L8" s="152"/>
      <c r="M8" s="152"/>
      <c r="N8" s="152"/>
      <c r="O8" s="152"/>
      <c r="P8" s="152"/>
      <c r="Q8" s="152"/>
      <c r="R8" s="155" t="s">
        <v>421</v>
      </c>
      <c r="S8" s="152"/>
      <c r="T8" s="152"/>
      <c r="U8" s="386">
        <v>25000</v>
      </c>
      <c r="V8" s="152"/>
      <c r="AU8" s="391"/>
      <c r="AV8" s="391"/>
      <c r="AW8" s="391"/>
      <c r="AX8" s="391"/>
      <c r="AY8" s="391" t="s">
        <v>319</v>
      </c>
      <c r="AZ8" s="391" t="s">
        <v>320</v>
      </c>
      <c r="BA8" s="391" t="s">
        <v>369</v>
      </c>
      <c r="BB8" s="391"/>
      <c r="BC8" s="391" t="s">
        <v>410</v>
      </c>
      <c r="BD8" s="391"/>
      <c r="BE8" s="391"/>
      <c r="BF8" s="391" t="s">
        <v>381</v>
      </c>
      <c r="BG8" s="391"/>
      <c r="BH8" s="391"/>
      <c r="BI8" s="391"/>
      <c r="BJ8" s="391"/>
      <c r="BK8" s="391"/>
      <c r="BL8" s="391"/>
      <c r="BM8" s="391"/>
    </row>
    <row r="9" spans="2:65" ht="15" customHeight="1">
      <c r="B9" s="163" t="s">
        <v>324</v>
      </c>
      <c r="C9" s="152"/>
      <c r="D9" s="152"/>
      <c r="E9" s="387">
        <v>6</v>
      </c>
      <c r="F9" s="167">
        <f>0.5*E9</f>
        <v>3</v>
      </c>
      <c r="G9" s="152"/>
      <c r="H9" s="152"/>
      <c r="I9" s="164"/>
      <c r="J9" s="152"/>
      <c r="K9" s="152" t="s">
        <v>91</v>
      </c>
      <c r="L9" s="152"/>
      <c r="M9" s="152"/>
      <c r="N9" s="152"/>
      <c r="O9" s="387" t="s">
        <v>9</v>
      </c>
      <c r="P9" s="152"/>
      <c r="Q9" s="152"/>
      <c r="R9" s="152" t="s">
        <v>203</v>
      </c>
      <c r="S9" s="152"/>
      <c r="T9" s="152"/>
      <c r="U9" s="386">
        <v>2</v>
      </c>
      <c r="V9" s="152"/>
      <c r="AU9" s="391"/>
      <c r="AV9" s="391" t="s">
        <v>316</v>
      </c>
      <c r="AW9" s="391"/>
      <c r="AX9" s="391"/>
      <c r="AY9" s="391">
        <f>(G11/600)*180*E9^2.6</f>
        <v>25316.548285681627</v>
      </c>
      <c r="AZ9" s="391">
        <f>IF(OR(O10&gt;=500,E9&gt;6,O11&lt;MAX(7*E9,((13*E9)-30)*O10/400)),0.082*(1-(0.01*E9))*O10,0.082*O10*(E9^-0.3))</f>
        <v>14.850127112745144</v>
      </c>
      <c r="BA9" s="391" t="str">
        <f>IF(OR(O10&gt;=500,E9&gt;6,O11&lt;MAX(7*E9,((13*E9)-30)*O10/400)),"pretaladro","sin pretaladro")</f>
        <v>sin pretaladro</v>
      </c>
      <c r="BB9" s="391"/>
      <c r="BC9" s="391">
        <f>0.75*E9</f>
        <v>4.5</v>
      </c>
      <c r="BD9" s="391"/>
      <c r="BE9" s="391" t="s">
        <v>369</v>
      </c>
      <c r="BF9" s="391" t="s">
        <v>370</v>
      </c>
      <c r="BG9" s="391"/>
      <c r="BH9" s="391" t="s">
        <v>380</v>
      </c>
      <c r="BI9" s="391"/>
      <c r="BJ9" s="391"/>
      <c r="BK9" s="391" t="s">
        <v>382</v>
      </c>
      <c r="BL9" s="391"/>
      <c r="BM9" s="391"/>
    </row>
    <row r="10" spans="2:65" ht="15" customHeight="1">
      <c r="B10" s="152"/>
      <c r="C10" s="152"/>
      <c r="D10" s="152"/>
      <c r="E10" s="152"/>
      <c r="F10" s="152"/>
      <c r="G10" s="152"/>
      <c r="H10" s="152"/>
      <c r="I10" s="164"/>
      <c r="J10" s="152"/>
      <c r="K10" s="153" t="s">
        <v>178</v>
      </c>
      <c r="L10" s="152"/>
      <c r="M10" s="152"/>
      <c r="N10" s="152"/>
      <c r="O10" s="152">
        <f>HLOOKUP(O9,'Propiedades_bases cálculo'!C9:AD24,10,FALSE)</f>
        <v>310</v>
      </c>
      <c r="P10" s="152"/>
      <c r="Q10" s="152"/>
      <c r="R10" s="153" t="s">
        <v>204</v>
      </c>
      <c r="S10" s="152"/>
      <c r="T10" s="152"/>
      <c r="U10" s="387" t="s">
        <v>67</v>
      </c>
      <c r="V10" s="152"/>
      <c r="AU10" s="391"/>
      <c r="AV10" s="391" t="s">
        <v>317</v>
      </c>
      <c r="AW10" s="391"/>
      <c r="AX10" s="391"/>
      <c r="AY10" s="391">
        <f>(G11/600)*270*E9^2.6</f>
        <v>37974.822428522435</v>
      </c>
      <c r="AZ10" s="391">
        <f>IF(OR(O10&gt;=500,E9&gt;6,O11&lt;MAX(7*E9,((13*E9)-30)*O10/400)),0.082*(1-(0.01*E9))*O10,0.082*O10*(E9^-0.3))</f>
        <v>14.850127112745144</v>
      </c>
      <c r="BA10" s="391" t="str">
        <f>IF(OR(O10&gt;=500,E9&gt;6,O11&lt;MAX(7*E9,((13*E9)-30)*O10/400)),"pretaladro","sin pretaladro")</f>
        <v>sin pretaladro</v>
      </c>
      <c r="BB10" s="391"/>
      <c r="BC10" s="391">
        <f>0.75*E9</f>
        <v>4.5</v>
      </c>
      <c r="BD10" s="391"/>
      <c r="BE10" s="391" t="s">
        <v>363</v>
      </c>
      <c r="BF10" s="391">
        <f>IF(E9&lt;5,(5+5*ABS(COS(RADIANS(O12))))*E9,(5+7*ABS(COS(RADIANS(O12))))*E9)</f>
        <v>66.37306695894642</v>
      </c>
      <c r="BG10" s="391"/>
      <c r="BH10" s="391">
        <f>(7+(8*ABS(COS(RADIANS(O12)))))*E9</f>
        <v>83.56921938165306</v>
      </c>
      <c r="BI10" s="391"/>
      <c r="BJ10" s="391"/>
      <c r="BK10" s="391">
        <f>(4+COS(RADIANS(O12)))*E9</f>
        <v>29.196152422706632</v>
      </c>
      <c r="BL10" s="391"/>
      <c r="BM10" s="391"/>
    </row>
    <row r="11" spans="2:65" ht="15" customHeight="1">
      <c r="B11" s="152" t="s">
        <v>322</v>
      </c>
      <c r="C11" s="152"/>
      <c r="D11" s="152"/>
      <c r="E11" s="152"/>
      <c r="F11" s="152"/>
      <c r="G11" s="386">
        <v>800</v>
      </c>
      <c r="H11" s="152"/>
      <c r="I11" s="152"/>
      <c r="J11" s="152"/>
      <c r="K11" s="153" t="s">
        <v>311</v>
      </c>
      <c r="L11" s="152"/>
      <c r="M11" s="152"/>
      <c r="N11" s="152"/>
      <c r="O11" s="386">
        <v>100</v>
      </c>
      <c r="P11" s="152"/>
      <c r="Q11" s="152"/>
      <c r="R11" s="155" t="s">
        <v>182</v>
      </c>
      <c r="S11" s="152"/>
      <c r="T11" s="152"/>
      <c r="U11" s="152">
        <f>INDEX('Propiedades_bases cálculo'!B29:G32,MATCH('UNIONES ACERO-MADERA'!U9,'Propiedades_bases cálculo'!B29:B32,0),MATCH('UNIONES ACERO-MADERA'!U10,'Propiedades_bases cálculo'!B29:G29,0))</f>
        <v>0.7</v>
      </c>
      <c r="V11" s="152"/>
      <c r="AU11" s="391"/>
      <c r="AV11" s="391" t="s">
        <v>425</v>
      </c>
      <c r="AW11" s="391"/>
      <c r="AX11" s="391"/>
      <c r="AY11" s="391">
        <f>(G11/600)*180*E9^2.6</f>
        <v>25316.548285681627</v>
      </c>
      <c r="AZ11" s="391">
        <f>IF(OR(O10&lt;=460,E9&lt;6,),0.082*O10*E9^(-0.3),0.082*(1-(0.01*E9))*O10)</f>
        <v>14.850127112745144</v>
      </c>
      <c r="BA11" s="391" t="str">
        <f>IF(AND(O10&lt;=460,E9&lt;6),"sin pretaladro","pretaladro")</f>
        <v>pretaladro</v>
      </c>
      <c r="BB11" s="391"/>
      <c r="BC11" s="391">
        <f>E9</f>
        <v>6</v>
      </c>
      <c r="BD11" s="391"/>
      <c r="BE11" s="391" t="s">
        <v>364</v>
      </c>
      <c r="BF11" s="391">
        <f>5*E9</f>
        <v>30</v>
      </c>
      <c r="BG11" s="391"/>
      <c r="BH11" s="391">
        <f>7*E9</f>
        <v>42</v>
      </c>
      <c r="BI11" s="391"/>
      <c r="BJ11" s="391"/>
      <c r="BK11" s="391">
        <f>(3+ABS(SIN(RADIANS(O12))))*E9</f>
        <v>21</v>
      </c>
      <c r="BL11" s="391"/>
      <c r="BM11" s="391"/>
    </row>
    <row r="12" spans="2:65" ht="15" customHeight="1">
      <c r="B12" s="152"/>
      <c r="C12" s="152"/>
      <c r="D12" s="152"/>
      <c r="E12" s="152"/>
      <c r="F12" s="152"/>
      <c r="G12" s="152"/>
      <c r="H12" s="152"/>
      <c r="I12" s="152"/>
      <c r="J12" s="152"/>
      <c r="K12" s="153" t="s">
        <v>200</v>
      </c>
      <c r="L12" s="152"/>
      <c r="M12" s="152"/>
      <c r="N12" s="152"/>
      <c r="O12" s="388">
        <v>30</v>
      </c>
      <c r="P12" s="152"/>
      <c r="Q12" s="152"/>
      <c r="R12" s="158" t="s">
        <v>205</v>
      </c>
      <c r="S12" s="152"/>
      <c r="T12" s="152"/>
      <c r="U12" s="152">
        <v>1.3</v>
      </c>
      <c r="V12" s="152"/>
      <c r="AB12" s="169" t="s">
        <v>415</v>
      </c>
      <c r="AU12" s="391"/>
      <c r="AV12" s="391" t="s">
        <v>328</v>
      </c>
      <c r="AW12" s="391"/>
      <c r="AX12" s="391"/>
      <c r="AY12" s="391"/>
      <c r="AZ12" s="391"/>
      <c r="BA12" s="391"/>
      <c r="BB12" s="391"/>
      <c r="BC12" s="391"/>
      <c r="BD12" s="391"/>
      <c r="BE12" s="391" t="s">
        <v>365</v>
      </c>
      <c r="BF12" s="391">
        <f>(10+5*COS(RADIANS(O12)))*E9</f>
        <v>85.98076211353316</v>
      </c>
      <c r="BG12" s="391"/>
      <c r="BH12" s="391">
        <f>(15+(5*COS(RADIANS(O12))))*E9</f>
        <v>115.98076211353316</v>
      </c>
      <c r="BI12" s="391"/>
      <c r="BJ12" s="391"/>
      <c r="BK12" s="391">
        <f>(7+(5*COS(RADIANS(O12))))*E9</f>
        <v>67.98076211353316</v>
      </c>
      <c r="BL12" s="391"/>
      <c r="BM12" s="391"/>
    </row>
    <row r="13" spans="2:65" ht="15" customHeight="1">
      <c r="B13" s="152" t="s">
        <v>174</v>
      </c>
      <c r="C13" s="152"/>
      <c r="D13" s="152"/>
      <c r="E13" s="152"/>
      <c r="F13" s="152"/>
      <c r="G13" s="154">
        <f>VLOOKUP(E8,AV8:AY11,4)</f>
        <v>25316.548285681627</v>
      </c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AU13" s="391"/>
      <c r="AV13" s="391" t="s">
        <v>329</v>
      </c>
      <c r="AW13" s="391"/>
      <c r="AX13" s="391"/>
      <c r="AY13" s="391"/>
      <c r="AZ13" s="391"/>
      <c r="BA13" s="391"/>
      <c r="BB13" s="391"/>
      <c r="BC13" s="391"/>
      <c r="BD13" s="391"/>
      <c r="BE13" s="391" t="s">
        <v>366</v>
      </c>
      <c r="BF13" s="391">
        <f>10*E9</f>
        <v>60</v>
      </c>
      <c r="BG13" s="391"/>
      <c r="BH13" s="391">
        <f>15*E9</f>
        <v>90</v>
      </c>
      <c r="BI13" s="391"/>
      <c r="BJ13" s="391"/>
      <c r="BK13" s="391">
        <f>7*E9</f>
        <v>42</v>
      </c>
      <c r="BL13" s="391"/>
      <c r="BM13" s="391"/>
    </row>
    <row r="14" spans="2:65" ht="15" customHeight="1">
      <c r="B14" s="152"/>
      <c r="C14" s="152"/>
      <c r="D14" s="152"/>
      <c r="E14" s="152"/>
      <c r="F14" s="152"/>
      <c r="G14" s="152"/>
      <c r="H14" s="152"/>
      <c r="I14" s="152"/>
      <c r="J14" s="152"/>
      <c r="K14" s="153" t="s">
        <v>406</v>
      </c>
      <c r="L14" s="152"/>
      <c r="M14" s="152"/>
      <c r="N14" s="152"/>
      <c r="O14" s="165"/>
      <c r="P14" s="168" t="s">
        <v>362</v>
      </c>
      <c r="Q14" s="152"/>
      <c r="R14" s="152"/>
      <c r="S14" s="152"/>
      <c r="T14" s="152"/>
      <c r="U14" s="152"/>
      <c r="V14" s="152"/>
      <c r="AU14" s="391"/>
      <c r="AV14" s="391" t="s">
        <v>330</v>
      </c>
      <c r="AW14" s="391"/>
      <c r="AX14" s="391"/>
      <c r="AY14" s="391"/>
      <c r="AZ14" s="391"/>
      <c r="BA14" s="391"/>
      <c r="BB14" s="391"/>
      <c r="BC14" s="391"/>
      <c r="BD14" s="391"/>
      <c r="BE14" s="391" t="s">
        <v>367</v>
      </c>
      <c r="BF14" s="391">
        <f>IF(E9&lt;5,(5+2*SIN(RADIANS(O12)))*E9,(5+5*SIN(RADIANS(O12)))*E9)</f>
        <v>45</v>
      </c>
      <c r="BG14" s="391"/>
      <c r="BH14" s="391">
        <f>IF(E9&lt;5,(7+(2*SIN(RADIANS(O12))))*E9,(7+(5*SIN(RADIANS(O12))))*E9)</f>
        <v>57</v>
      </c>
      <c r="BI14" s="391"/>
      <c r="BJ14" s="391"/>
      <c r="BK14" s="391">
        <f>IF(E9&lt;5,(3+(2*SIN(RADIANS(O12))))*E9,(3+(4*SIN(RADIANS(O12))))*E9)</f>
        <v>30</v>
      </c>
      <c r="BL14" s="391"/>
      <c r="BM14" s="391"/>
    </row>
    <row r="15" spans="2:65" ht="15" customHeight="1">
      <c r="B15" s="152" t="s">
        <v>321</v>
      </c>
      <c r="C15" s="152"/>
      <c r="D15" s="152"/>
      <c r="E15" s="152"/>
      <c r="F15" s="152"/>
      <c r="G15" s="154">
        <f>VLOOKUP(E8,AV8:AZ11,5)</f>
        <v>14.850127112745144</v>
      </c>
      <c r="H15" s="152"/>
      <c r="I15" s="152"/>
      <c r="J15" s="152"/>
      <c r="K15" s="166" t="s">
        <v>333</v>
      </c>
      <c r="L15" s="152"/>
      <c r="M15" s="152"/>
      <c r="N15" s="152"/>
      <c r="O15" s="386">
        <v>6</v>
      </c>
      <c r="P15" s="155" t="str">
        <f>IF(O15&lt;=0.5*E9,"DELGADA",IF(O15&gt;=E9,"GRUESA",IF(AND(O15&gt;0.5*E9,O15&lt;E9),"INTERMEDIA")))</f>
        <v>GRUESA</v>
      </c>
      <c r="Q15" s="152"/>
      <c r="R15" s="152"/>
      <c r="S15" s="152"/>
      <c r="T15" s="152"/>
      <c r="U15" s="152"/>
      <c r="V15" s="152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91" t="s">
        <v>368</v>
      </c>
      <c r="BF15" s="391">
        <f>3*E9</f>
        <v>18</v>
      </c>
      <c r="BG15" s="391"/>
      <c r="BH15" s="391">
        <f>7*E9</f>
        <v>42</v>
      </c>
      <c r="BI15" s="391"/>
      <c r="BJ15" s="391"/>
      <c r="BK15" s="391">
        <f>3*E9</f>
        <v>18</v>
      </c>
      <c r="BL15" s="391"/>
      <c r="BM15" s="391"/>
    </row>
    <row r="16" spans="2:65" ht="15" customHeight="1">
      <c r="B16" s="152"/>
      <c r="C16" s="152"/>
      <c r="D16" s="152"/>
      <c r="E16" s="152"/>
      <c r="F16" s="152"/>
      <c r="G16" s="152"/>
      <c r="H16" s="152"/>
      <c r="I16" s="152"/>
      <c r="J16" s="152"/>
      <c r="K16" s="152" t="s">
        <v>352</v>
      </c>
      <c r="L16" s="152"/>
      <c r="M16" s="152"/>
      <c r="N16" s="152"/>
      <c r="O16" s="387" t="s">
        <v>315</v>
      </c>
      <c r="P16" s="152"/>
      <c r="Q16" s="152"/>
      <c r="R16" s="152"/>
      <c r="S16" s="152"/>
      <c r="T16" s="152"/>
      <c r="U16" s="152"/>
      <c r="V16" s="152"/>
      <c r="AU16" s="391"/>
      <c r="AV16" s="391"/>
      <c r="AW16" s="391"/>
      <c r="AX16" s="391" t="s">
        <v>356</v>
      </c>
      <c r="AY16" s="391" t="s">
        <v>183</v>
      </c>
      <c r="AZ16" s="391" t="s">
        <v>184</v>
      </c>
      <c r="BA16" s="391" t="s">
        <v>185</v>
      </c>
      <c r="BB16" s="391" t="s">
        <v>354</v>
      </c>
      <c r="BC16" s="391"/>
      <c r="BD16" s="391"/>
      <c r="BE16" s="391"/>
      <c r="BF16" s="391"/>
      <c r="BG16" s="391"/>
      <c r="BH16" s="391"/>
      <c r="BI16" s="391"/>
      <c r="BJ16" s="391"/>
      <c r="BK16" s="391"/>
      <c r="BL16" s="391"/>
      <c r="BM16" s="391"/>
    </row>
    <row r="17" spans="2:65" ht="15" customHeight="1">
      <c r="B17" s="152" t="s">
        <v>331</v>
      </c>
      <c r="C17" s="152"/>
      <c r="D17" s="152"/>
      <c r="E17" s="152"/>
      <c r="F17" s="152"/>
      <c r="G17" s="154">
        <f>0.53*O17*E9*O15</f>
        <v>6773.400000000001</v>
      </c>
      <c r="H17" s="152"/>
      <c r="I17" s="152"/>
      <c r="J17" s="152"/>
      <c r="K17" s="152" t="s">
        <v>312</v>
      </c>
      <c r="L17" s="152"/>
      <c r="M17" s="152"/>
      <c r="N17" s="152"/>
      <c r="O17" s="152">
        <f>VLOOKUP(O16,AV4:AW6,2)</f>
        <v>355</v>
      </c>
      <c r="P17" s="152"/>
      <c r="Q17" s="152"/>
      <c r="R17" s="152"/>
      <c r="S17" s="152"/>
      <c r="T17" s="152"/>
      <c r="U17" s="152"/>
      <c r="V17" s="152"/>
      <c r="AU17" s="391"/>
      <c r="AV17" s="391" t="s">
        <v>344</v>
      </c>
      <c r="AW17" s="391"/>
      <c r="AX17" s="391">
        <f>0.5*E9</f>
        <v>3</v>
      </c>
      <c r="AY17" s="391">
        <f>0.4*G15*O11*E9</f>
        <v>3564.0305070588347</v>
      </c>
      <c r="AZ17" s="391">
        <f>1.15*(2*G13*G15*E9)^0.5</f>
        <v>2442.6193618245916</v>
      </c>
      <c r="BA17" s="391">
        <v>0</v>
      </c>
      <c r="BB17" s="391">
        <f>MIN(AY17:AZ17)</f>
        <v>2442.6193618245916</v>
      </c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</row>
    <row r="18" spans="47:65" ht="15" customHeight="1">
      <c r="AU18" s="391"/>
      <c r="AV18" s="391" t="s">
        <v>345</v>
      </c>
      <c r="AW18" s="391"/>
      <c r="AX18" s="391">
        <f>E9</f>
        <v>6</v>
      </c>
      <c r="AY18" s="391">
        <f>G15*O11*E9*(((2+(4*G13/(G15*E9*O11*O11)))^0.5)-1)</f>
        <v>4043.7576525842283</v>
      </c>
      <c r="AZ18" s="391">
        <f>2.3*((G13*G15*E9)^0.5)</f>
        <v>3454.3854292074516</v>
      </c>
      <c r="BA18" s="391">
        <f>G15*O11*E9</f>
        <v>8910.076267647088</v>
      </c>
      <c r="BB18" s="391">
        <f>MIN(AY18:BA18)</f>
        <v>3454.3854292074516</v>
      </c>
      <c r="BC18" s="391"/>
      <c r="BD18" s="391"/>
      <c r="BE18" s="391"/>
      <c r="BF18" s="391"/>
      <c r="BG18" s="391"/>
      <c r="BH18" s="391"/>
      <c r="BI18" s="391"/>
      <c r="BJ18" s="391"/>
      <c r="BK18" s="391"/>
      <c r="BL18" s="391"/>
      <c r="BM18" s="391"/>
    </row>
    <row r="19" spans="2:65" ht="15" customHeight="1">
      <c r="B19" s="131" t="s">
        <v>216</v>
      </c>
      <c r="AU19" s="391"/>
      <c r="AV19" s="391" t="s">
        <v>346</v>
      </c>
      <c r="AW19" s="391"/>
      <c r="AX19" s="391" t="str">
        <f>IF(AND(O15&gt;0.5*E9,O15&lt;E9),O15," ")</f>
        <v xml:space="preserve"> </v>
      </c>
      <c r="AY19" s="391"/>
      <c r="AZ19" s="391"/>
      <c r="BA19" s="391"/>
      <c r="BB19" s="391">
        <f>FORECAST(O15,BB17:BB18,AX17:AX18)</f>
        <v>3454.385429207451</v>
      </c>
      <c r="BC19" s="391"/>
      <c r="BD19" s="391"/>
      <c r="BE19" s="391"/>
      <c r="BF19" s="391"/>
      <c r="BG19" s="391"/>
      <c r="BH19" s="391"/>
      <c r="BI19" s="391"/>
      <c r="BJ19" s="391"/>
      <c r="BK19" s="391"/>
      <c r="BL19" s="391"/>
      <c r="BM19" s="391"/>
    </row>
    <row r="20" spans="2:65" ht="15" customHeight="1">
      <c r="B20" s="25" t="s">
        <v>417</v>
      </c>
      <c r="AU20" s="391"/>
      <c r="AV20" s="391"/>
      <c r="AW20" s="391"/>
      <c r="AX20" s="391"/>
      <c r="AY20" s="391"/>
      <c r="AZ20" s="391"/>
      <c r="BA20" s="391"/>
      <c r="BB20" s="391"/>
      <c r="BC20" s="391"/>
      <c r="BD20" s="391"/>
      <c r="BE20" s="391"/>
      <c r="BF20" s="391"/>
      <c r="BG20" s="391"/>
      <c r="BH20" s="391"/>
      <c r="BI20" s="391"/>
      <c r="BJ20" s="391"/>
      <c r="BK20" s="391"/>
      <c r="BL20" s="391"/>
      <c r="BM20" s="391"/>
    </row>
    <row r="21" spans="2:65" ht="15" customHeight="1">
      <c r="B21" s="25"/>
      <c r="X21" t="s">
        <v>283</v>
      </c>
      <c r="AA21" t="s">
        <v>284</v>
      </c>
      <c r="AB21" s="97"/>
      <c r="AC21" s="97"/>
      <c r="AD21" t="s">
        <v>285</v>
      </c>
      <c r="AE21" s="97"/>
      <c r="AF21" s="97"/>
      <c r="AG21" t="s">
        <v>286</v>
      </c>
      <c r="AU21" s="391"/>
      <c r="AV21" s="391"/>
      <c r="AW21" s="391"/>
      <c r="AX21" s="391"/>
      <c r="AY21" s="391"/>
      <c r="AZ21" s="391"/>
      <c r="BA21" s="391"/>
      <c r="BB21" s="391"/>
      <c r="BC21" s="391"/>
      <c r="BD21" s="391"/>
      <c r="BE21" s="391"/>
      <c r="BF21" s="391"/>
      <c r="BG21" s="391"/>
      <c r="BH21" s="391"/>
      <c r="BI21" s="391"/>
      <c r="BJ21" s="391"/>
      <c r="BK21" s="391"/>
      <c r="BL21" s="391"/>
      <c r="BM21" s="391"/>
    </row>
    <row r="22" spans="2:65" ht="15" customHeight="1">
      <c r="B22" s="25" t="s">
        <v>183</v>
      </c>
      <c r="C22" s="2" t="s">
        <v>326</v>
      </c>
      <c r="D22" s="151">
        <f>IF(O15&lt;=0.5*E9,AY17,IF(O15&gt;=E9,AY18,"-"))</f>
        <v>4043.7576525842283</v>
      </c>
      <c r="AB22" s="170" t="s">
        <v>416</v>
      </c>
      <c r="AU22" s="391"/>
      <c r="AV22" s="391"/>
      <c r="AW22" s="391"/>
      <c r="AX22" s="391"/>
      <c r="AY22" s="391"/>
      <c r="AZ22" s="391"/>
      <c r="BA22" s="391"/>
      <c r="BB22" s="391"/>
      <c r="BC22" s="391"/>
      <c r="BD22" s="391"/>
      <c r="BE22" s="391"/>
      <c r="BF22" s="391"/>
      <c r="BG22" s="391"/>
      <c r="BH22" s="391"/>
      <c r="BI22" s="391"/>
      <c r="BJ22" s="391"/>
      <c r="BK22" s="391"/>
      <c r="BL22" s="391"/>
      <c r="BM22" s="391"/>
    </row>
    <row r="23" spans="2:4" ht="15" customHeight="1">
      <c r="B23" s="25" t="s">
        <v>184</v>
      </c>
      <c r="C23" s="2" t="s">
        <v>326</v>
      </c>
      <c r="D23" s="151">
        <f>IF(O15&lt;=0.5*E9,AZ17,IF(O15&gt;=E9,AZ18,"-"))</f>
        <v>3454.3854292074516</v>
      </c>
    </row>
    <row r="24" spans="2:36" ht="15" customHeight="1">
      <c r="B24" s="25" t="s">
        <v>185</v>
      </c>
      <c r="C24" s="2" t="s">
        <v>326</v>
      </c>
      <c r="D24" s="151">
        <f>IF(O15&lt;=0.5*E9,"-",IF(O15&gt;=E9,BA18,"-"))</f>
        <v>8910.076267647088</v>
      </c>
      <c r="J24" t="s">
        <v>418</v>
      </c>
      <c r="Z24" s="178" t="s">
        <v>385</v>
      </c>
      <c r="AA24" s="178" t="s">
        <v>386</v>
      </c>
      <c r="AB24" s="178" t="s">
        <v>387</v>
      </c>
      <c r="AC24" s="178" t="s">
        <v>388</v>
      </c>
      <c r="AD24" s="178" t="s">
        <v>389</v>
      </c>
      <c r="AE24" s="178" t="s">
        <v>390</v>
      </c>
      <c r="AJ24" s="1" t="s">
        <v>411</v>
      </c>
    </row>
    <row r="25" spans="3:37" ht="15" customHeight="1">
      <c r="C25" s="2"/>
      <c r="Y25" s="155" t="s">
        <v>369</v>
      </c>
      <c r="Z25" s="171">
        <f>IF(AG25="sin pretaladro",IF(O10&lt;=420,0.7*BF10,0.7*BH10),0.7*BK10)</f>
        <v>20.43730669589464</v>
      </c>
      <c r="AA25" s="171">
        <f>IF(AG25="sin pretaladro",IF(O10&lt;=420,0.7*BF11,0.7*BH11),0.7*BK11)</f>
        <v>14.7</v>
      </c>
      <c r="AB25" s="171">
        <f>IF(AG25="sin pretaladro",IF(O10&lt;=420,BF12,BH12),BK12)</f>
        <v>67.98076211353316</v>
      </c>
      <c r="AC25" s="171">
        <f>IF(AG25="sin pretaladro",IF(O10&lt;=420,BF13,BH13),BK13)</f>
        <v>42</v>
      </c>
      <c r="AD25" s="171">
        <f>IF(AG25="sin pretaladro",IF(O10&lt;=420,BF14,BH14),BK14)</f>
        <v>30</v>
      </c>
      <c r="AE25" s="171">
        <f>IF(AG25="sin pretaladro",IF(O10&lt;=420,BF15,BH15),BK15)</f>
        <v>18</v>
      </c>
      <c r="AF25" s="160" t="s">
        <v>369</v>
      </c>
      <c r="AG25" t="str">
        <f>VLOOKUP(E8,AV9:BA11,6,FALSE)</f>
        <v>pretaladro</v>
      </c>
      <c r="AJ25" s="180">
        <f>IF(AG25="pretaladro",VLOOKUP(E8,AV9:BC11,8,FALSE),"-")</f>
        <v>6</v>
      </c>
      <c r="AK25" t="s">
        <v>412</v>
      </c>
    </row>
    <row r="26" spans="3:11" ht="15" customHeight="1">
      <c r="C26" s="2" t="s">
        <v>326</v>
      </c>
      <c r="D26" s="150">
        <f>IF(OR(O15&lt;=0.5*E9,O15&gt;=E9),MIN(D22:D24),"-")</f>
        <v>3454.3854292074516</v>
      </c>
      <c r="J26" s="2" t="s">
        <v>326</v>
      </c>
      <c r="K26" s="151" t="str">
        <f>IF(AND(O15&gt;0.5*E9,O15&lt;E9),BB19,"-")</f>
        <v>-</v>
      </c>
    </row>
    <row r="27" spans="3:11" ht="15" customHeight="1">
      <c r="C27" s="2" t="s">
        <v>327</v>
      </c>
      <c r="D27" s="150">
        <f>IF(OR(O15&lt;=0.5*E9,O15&gt;=E9),D26*U11/U12,"-")</f>
        <v>1860.053692650166</v>
      </c>
      <c r="J27" s="2" t="s">
        <v>327</v>
      </c>
      <c r="K27" s="151" t="str">
        <f>IF(AND(O15&gt;0.5*E9,O15&lt;E9),K26*U11/U12,"-")</f>
        <v>-</v>
      </c>
    </row>
    <row r="28" spans="3:16" ht="15" customHeight="1">
      <c r="C28" s="2" t="s">
        <v>202</v>
      </c>
      <c r="F28" s="182">
        <f>IF(OR(O15&lt;=0.5*E9,O15&gt;=E9),U8/D27,"-")</f>
        <v>13.440472228723955</v>
      </c>
      <c r="G28" s="176" t="str">
        <f>IF(MIN(D22:D24)&gt;G17,"FALLO PLACA ACERO"," ")</f>
        <v xml:space="preserve"> </v>
      </c>
      <c r="J28" s="2" t="s">
        <v>202</v>
      </c>
      <c r="N28" s="182" t="str">
        <f>IF(AND(O15&gt;0.5*E9,O15&lt;E9),U8/K27,"-")</f>
        <v>-</v>
      </c>
      <c r="P28" s="1" t="str">
        <f>IF(AND(O15&gt;0.5*E9,O15&lt;E9,BB19&gt;G17),"FALLO PLACA ACERO"," ")</f>
        <v xml:space="preserve"> </v>
      </c>
    </row>
    <row r="30" spans="2:11" ht="15" customHeight="1">
      <c r="B30" s="133" t="s">
        <v>360</v>
      </c>
      <c r="K30" s="132" t="s">
        <v>177</v>
      </c>
    </row>
    <row r="31" spans="2:63" ht="15" customHeight="1"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AU31" s="391"/>
      <c r="AV31" s="391"/>
      <c r="AW31" s="391"/>
      <c r="AX31" s="391"/>
      <c r="AY31" s="391"/>
      <c r="AZ31" s="391"/>
      <c r="BA31" s="391"/>
      <c r="BB31" s="391"/>
      <c r="BC31" s="391"/>
      <c r="BD31" s="391"/>
      <c r="BE31" s="391"/>
      <c r="BF31" s="391"/>
      <c r="BG31" s="391"/>
      <c r="BH31" s="391"/>
      <c r="BI31" s="391"/>
      <c r="BJ31" s="391"/>
      <c r="BK31" s="391"/>
    </row>
    <row r="32" spans="2:63" ht="15" customHeight="1">
      <c r="B32" s="152" t="s">
        <v>195</v>
      </c>
      <c r="C32" s="152"/>
      <c r="D32" s="152"/>
      <c r="E32" s="152"/>
      <c r="F32" s="152"/>
      <c r="G32" s="152"/>
      <c r="H32" s="152"/>
      <c r="I32" s="152"/>
      <c r="J32" s="152"/>
      <c r="K32" s="152" t="s">
        <v>399</v>
      </c>
      <c r="L32" s="152"/>
      <c r="M32" s="152"/>
      <c r="N32" s="152"/>
      <c r="O32" s="152"/>
      <c r="P32" s="152"/>
      <c r="Q32" s="152"/>
      <c r="R32" s="155" t="s">
        <v>421</v>
      </c>
      <c r="S32" s="152"/>
      <c r="T32" s="152"/>
      <c r="U32" s="386">
        <v>25000</v>
      </c>
      <c r="V32" s="152"/>
      <c r="AU32" s="391"/>
      <c r="AV32" s="391"/>
      <c r="AW32" s="391"/>
      <c r="AX32" s="391"/>
      <c r="AY32" s="391"/>
      <c r="AZ32" s="391"/>
      <c r="BA32" s="391"/>
      <c r="BB32" s="391"/>
      <c r="BC32" s="391"/>
      <c r="BD32" s="391"/>
      <c r="BE32" s="391"/>
      <c r="BF32" s="391"/>
      <c r="BG32" s="391"/>
      <c r="BH32" s="391"/>
      <c r="BI32" s="391"/>
      <c r="BJ32" s="391"/>
      <c r="BK32" s="391"/>
    </row>
    <row r="33" spans="2:63" ht="15" customHeight="1">
      <c r="B33" s="152" t="s">
        <v>218</v>
      </c>
      <c r="C33" s="152"/>
      <c r="D33" s="152"/>
      <c r="E33" s="152"/>
      <c r="F33" s="152"/>
      <c r="G33" s="152"/>
      <c r="H33" s="386">
        <v>10</v>
      </c>
      <c r="I33" s="152"/>
      <c r="J33" s="152"/>
      <c r="K33" s="152" t="s">
        <v>91</v>
      </c>
      <c r="L33" s="152"/>
      <c r="M33" s="152"/>
      <c r="N33" s="152"/>
      <c r="O33" s="387" t="s">
        <v>12</v>
      </c>
      <c r="P33" s="152"/>
      <c r="Q33" s="152"/>
      <c r="R33" s="152" t="s">
        <v>203</v>
      </c>
      <c r="S33" s="152"/>
      <c r="T33" s="152"/>
      <c r="U33" s="386">
        <v>3</v>
      </c>
      <c r="V33" s="152"/>
      <c r="AU33" s="391"/>
      <c r="AV33" s="391"/>
      <c r="AW33" s="391"/>
      <c r="AX33" s="391"/>
      <c r="AY33" s="391" t="s">
        <v>183</v>
      </c>
      <c r="AZ33" s="391" t="s">
        <v>184</v>
      </c>
      <c r="BA33" s="391" t="s">
        <v>185</v>
      </c>
      <c r="BB33" s="391" t="s">
        <v>354</v>
      </c>
      <c r="BC33" s="391"/>
      <c r="BD33" s="391"/>
      <c r="BE33" s="391" t="s">
        <v>391</v>
      </c>
      <c r="BF33" s="391"/>
      <c r="BG33" s="391"/>
      <c r="BH33" s="391"/>
      <c r="BI33" s="391" t="s">
        <v>393</v>
      </c>
      <c r="BJ33" s="391"/>
      <c r="BK33" s="391"/>
    </row>
    <row r="34" spans="2:63" ht="15" customHeight="1">
      <c r="B34" s="152" t="s">
        <v>196</v>
      </c>
      <c r="C34" s="152"/>
      <c r="D34" s="152"/>
      <c r="E34" s="152"/>
      <c r="F34" s="152"/>
      <c r="G34" s="152"/>
      <c r="H34" s="386">
        <v>1000</v>
      </c>
      <c r="I34" s="152"/>
      <c r="J34" s="152"/>
      <c r="K34" s="153" t="s">
        <v>178</v>
      </c>
      <c r="L34" s="152"/>
      <c r="M34" s="152"/>
      <c r="N34" s="152"/>
      <c r="O34" s="152">
        <f>HLOOKUP(O33,'Propiedades_bases cálculo'!C9:AD24,10,FALSE)</f>
        <v>340</v>
      </c>
      <c r="P34" s="152"/>
      <c r="Q34" s="152"/>
      <c r="R34" s="153" t="s">
        <v>204</v>
      </c>
      <c r="S34" s="152"/>
      <c r="T34" s="152"/>
      <c r="U34" s="386" t="s">
        <v>68</v>
      </c>
      <c r="V34" s="152"/>
      <c r="AU34" s="391"/>
      <c r="AV34" s="391" t="s">
        <v>344</v>
      </c>
      <c r="AW34" s="391"/>
      <c r="AX34" s="391">
        <f>0.5*H33</f>
        <v>5</v>
      </c>
      <c r="AY34" s="391">
        <f>0.4*D40*O35*H33</f>
        <v>4014.7200000000003</v>
      </c>
      <c r="AZ34" s="391">
        <f>1.15*(2*F37*D40*H33)^0.5</f>
        <v>7963.172039090832</v>
      </c>
      <c r="BA34" s="391">
        <v>0</v>
      </c>
      <c r="BB34" s="391">
        <f>MIN(AY34:AZ34)</f>
        <v>4014.7200000000003</v>
      </c>
      <c r="BC34" s="391"/>
      <c r="BD34" s="391"/>
      <c r="BE34" s="391" t="s">
        <v>369</v>
      </c>
      <c r="BF34" s="391"/>
      <c r="BG34" s="391"/>
      <c r="BH34" s="391"/>
      <c r="BI34" s="391"/>
      <c r="BJ34" s="391" t="s">
        <v>369</v>
      </c>
      <c r="BK34" s="391"/>
    </row>
    <row r="35" spans="2:63" ht="15" customHeight="1">
      <c r="B35" s="152"/>
      <c r="C35" s="152"/>
      <c r="D35" s="152"/>
      <c r="E35" s="152"/>
      <c r="F35" s="152"/>
      <c r="G35" s="152"/>
      <c r="H35" s="152"/>
      <c r="I35" s="152"/>
      <c r="J35" s="152"/>
      <c r="K35" s="153" t="s">
        <v>311</v>
      </c>
      <c r="L35" s="152"/>
      <c r="M35" s="152"/>
      <c r="N35" s="152"/>
      <c r="O35" s="386">
        <v>50</v>
      </c>
      <c r="P35" s="152"/>
      <c r="Q35" s="152"/>
      <c r="R35" s="155" t="s">
        <v>182</v>
      </c>
      <c r="S35" s="152"/>
      <c r="T35" s="152"/>
      <c r="U35" s="152">
        <f>INDEX('Propiedades_bases cálculo'!B29:G32,MATCH('UNIONES ACERO-MADERA'!U33,'Propiedades_bases cálculo'!B29:B32,0),MATCH('UNIONES ACERO-MADERA'!U34,'Propiedades_bases cálculo'!B29:G29,0))</f>
        <v>0.65</v>
      </c>
      <c r="V35" s="152"/>
      <c r="AU35" s="391"/>
      <c r="AV35" s="391" t="s">
        <v>345</v>
      </c>
      <c r="AW35" s="391"/>
      <c r="AX35" s="391">
        <f>H33</f>
        <v>10</v>
      </c>
      <c r="AY35" s="391">
        <f>D40*O35*H33*(((2+(4*F37/(D40*H33*O35*O35)))^0.5)-1)</f>
        <v>7207.678468943975</v>
      </c>
      <c r="AZ35" s="391">
        <f>2.3*((F37*D40*H33)^0.5)</f>
        <v>11261.625897192469</v>
      </c>
      <c r="BA35" s="391">
        <f>D40*O35*H33</f>
        <v>10036.800000000001</v>
      </c>
      <c r="BB35" s="391">
        <f>MIN(AY35:BA35)</f>
        <v>7207.678468943975</v>
      </c>
      <c r="BC35" s="391"/>
      <c r="BD35" s="391" t="s">
        <v>363</v>
      </c>
      <c r="BE35" s="391">
        <f>(4+ABS(COS(RADIANS(O36))))*H33</f>
        <v>47.071067811865476</v>
      </c>
      <c r="BF35" s="391"/>
      <c r="BG35" s="391"/>
      <c r="BH35" s="391"/>
      <c r="BI35" s="391" t="s">
        <v>363</v>
      </c>
      <c r="BJ35" s="391">
        <f>(3+(2*ABS(COS(RADIANS(O36)))))*H33</f>
        <v>44.14213562373095</v>
      </c>
      <c r="BK35" s="391"/>
    </row>
    <row r="36" spans="2:63" ht="15" customHeight="1">
      <c r="B36" s="152" t="s">
        <v>193</v>
      </c>
      <c r="C36" s="152"/>
      <c r="D36" s="152"/>
      <c r="E36" s="152"/>
      <c r="F36" s="152"/>
      <c r="G36" s="152"/>
      <c r="H36" s="152"/>
      <c r="I36" s="152"/>
      <c r="J36" s="152"/>
      <c r="K36" s="153" t="s">
        <v>200</v>
      </c>
      <c r="L36" s="152"/>
      <c r="M36" s="152"/>
      <c r="N36" s="152"/>
      <c r="O36" s="386">
        <v>45</v>
      </c>
      <c r="P36" s="152"/>
      <c r="Q36" s="152"/>
      <c r="R36" s="158" t="s">
        <v>205</v>
      </c>
      <c r="S36" s="152"/>
      <c r="T36" s="152"/>
      <c r="U36" s="152">
        <v>1.3</v>
      </c>
      <c r="V36" s="152"/>
      <c r="AA36" s="169" t="s">
        <v>415</v>
      </c>
      <c r="AU36" s="391"/>
      <c r="AV36" s="391" t="s">
        <v>346</v>
      </c>
      <c r="AW36" s="391"/>
      <c r="AX36" s="391" t="str">
        <f>IF(AND(O39&gt;0.5*H33,O39&lt;H33),O39," ")</f>
        <v xml:space="preserve"> </v>
      </c>
      <c r="AY36" s="391"/>
      <c r="AZ36" s="391"/>
      <c r="BA36" s="391"/>
      <c r="BB36" s="391">
        <f>FORECAST(O39,BB34:BB35,AX34:AX35)</f>
        <v>7846.270162732769</v>
      </c>
      <c r="BC36" s="391"/>
      <c r="BD36" s="391" t="s">
        <v>364</v>
      </c>
      <c r="BE36" s="391">
        <f>4*H33</f>
        <v>40</v>
      </c>
      <c r="BF36" s="391"/>
      <c r="BG36" s="391"/>
      <c r="BH36" s="391"/>
      <c r="BI36" s="391" t="s">
        <v>364</v>
      </c>
      <c r="BJ36" s="391">
        <f>3*H33</f>
        <v>30</v>
      </c>
      <c r="BK36" s="391"/>
    </row>
    <row r="37" spans="2:63" ht="15" customHeight="1">
      <c r="B37" s="152" t="s">
        <v>194</v>
      </c>
      <c r="C37" s="152"/>
      <c r="D37" s="152"/>
      <c r="E37" s="152"/>
      <c r="F37" s="152">
        <f>0.3*H34*(H33^2.6)</f>
        <v>119432.15116604928</v>
      </c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AU37" s="391"/>
      <c r="AV37" s="391"/>
      <c r="AW37" s="391"/>
      <c r="AX37" s="391"/>
      <c r="AY37" s="391"/>
      <c r="AZ37" s="391"/>
      <c r="BA37" s="391"/>
      <c r="BB37" s="391"/>
      <c r="BC37" s="391"/>
      <c r="BD37" s="391" t="s">
        <v>365</v>
      </c>
      <c r="BE37" s="391">
        <f>MAX(7*H33,80)</f>
        <v>80</v>
      </c>
      <c r="BF37" s="391"/>
      <c r="BG37" s="391"/>
      <c r="BH37" s="391"/>
      <c r="BI37" s="391" t="s">
        <v>365</v>
      </c>
      <c r="BJ37" s="391">
        <f>MAX(7*H33,80)</f>
        <v>80</v>
      </c>
      <c r="BK37" s="391"/>
    </row>
    <row r="38" spans="2:63" ht="15" customHeight="1">
      <c r="B38" s="152"/>
      <c r="C38" s="152"/>
      <c r="D38" s="152"/>
      <c r="E38" s="152"/>
      <c r="F38" s="152"/>
      <c r="G38" s="152"/>
      <c r="H38" s="152"/>
      <c r="I38" s="152"/>
      <c r="J38" s="152"/>
      <c r="K38" s="153" t="s">
        <v>406</v>
      </c>
      <c r="L38" s="152"/>
      <c r="M38" s="152"/>
      <c r="N38" s="152"/>
      <c r="O38" s="165"/>
      <c r="P38" s="168" t="s">
        <v>362</v>
      </c>
      <c r="Q38" s="152"/>
      <c r="R38" s="152"/>
      <c r="S38" s="152"/>
      <c r="T38" s="152"/>
      <c r="U38" s="152"/>
      <c r="V38" s="152"/>
      <c r="AU38" s="391"/>
      <c r="AV38" s="391"/>
      <c r="AW38" s="391"/>
      <c r="AX38" s="391"/>
      <c r="AY38" s="391"/>
      <c r="AZ38" s="391"/>
      <c r="BA38" s="391"/>
      <c r="BB38" s="391"/>
      <c r="BC38" s="391"/>
      <c r="BD38" s="391" t="s">
        <v>366</v>
      </c>
      <c r="BE38" s="391">
        <f>(1+6*(SIN(RADIANS(O36))))*H33</f>
        <v>52.426406871192846</v>
      </c>
      <c r="BF38" s="391"/>
      <c r="BG38" s="391"/>
      <c r="BH38" s="391"/>
      <c r="BI38" s="391" t="s">
        <v>366</v>
      </c>
      <c r="BJ38" s="391">
        <f>MAX(BJ37*ABS(SIN(RADIANS(O36)))*H33,3*H33)</f>
        <v>565.6854249492379</v>
      </c>
      <c r="BK38" s="391"/>
    </row>
    <row r="39" spans="2:63" ht="15" customHeight="1">
      <c r="B39" s="152" t="s">
        <v>176</v>
      </c>
      <c r="C39" s="152"/>
      <c r="D39" s="152"/>
      <c r="E39" s="152"/>
      <c r="F39" s="152"/>
      <c r="G39" s="152"/>
      <c r="H39" s="152"/>
      <c r="I39" s="152"/>
      <c r="J39" s="152"/>
      <c r="K39" s="166" t="s">
        <v>333</v>
      </c>
      <c r="L39" s="152"/>
      <c r="M39" s="152"/>
      <c r="N39" s="152"/>
      <c r="O39" s="386">
        <v>11</v>
      </c>
      <c r="P39" s="155" t="str">
        <f>IF(O39&lt;=0.5*H33,"DELGADA",IF(O39&gt;=H33,"GRUESA",IF(AND(O39&gt;0.5*H33,O39&lt;H33),"INTERMEDIA")))</f>
        <v>GRUESA</v>
      </c>
      <c r="Q39" s="152"/>
      <c r="R39" s="152"/>
      <c r="S39" s="152"/>
      <c r="T39" s="152"/>
      <c r="U39" s="152"/>
      <c r="V39" s="152"/>
      <c r="AU39" s="391"/>
      <c r="AV39" s="391"/>
      <c r="AW39" s="391"/>
      <c r="AX39" s="391"/>
      <c r="AY39" s="391"/>
      <c r="AZ39" s="391"/>
      <c r="BA39" s="391"/>
      <c r="BB39" s="391"/>
      <c r="BC39" s="391"/>
      <c r="BD39" s="391"/>
      <c r="BE39" s="391">
        <f>4*H33</f>
        <v>40</v>
      </c>
      <c r="BF39" s="391"/>
      <c r="BG39" s="391"/>
      <c r="BH39" s="391"/>
      <c r="BI39" s="391"/>
      <c r="BJ39" s="391">
        <f>3*H33</f>
        <v>30</v>
      </c>
      <c r="BK39" s="391"/>
    </row>
    <row r="40" spans="2:63" ht="15" customHeight="1">
      <c r="B40" s="155" t="s">
        <v>334</v>
      </c>
      <c r="C40" s="152"/>
      <c r="D40" s="152">
        <f>D41/((C42*(SIN(RADIANS(O36)))^2)+(COS(RADIANS(O36)))^2)</f>
        <v>20.073600000000003</v>
      </c>
      <c r="E40" s="152"/>
      <c r="F40" s="152"/>
      <c r="G40" s="152"/>
      <c r="H40" s="152"/>
      <c r="I40" s="152"/>
      <c r="J40" s="152"/>
      <c r="K40" s="152" t="s">
        <v>352</v>
      </c>
      <c r="L40" s="152"/>
      <c r="M40" s="152"/>
      <c r="N40" s="152"/>
      <c r="O40" s="387" t="s">
        <v>313</v>
      </c>
      <c r="P40" s="152"/>
      <c r="Q40" s="152"/>
      <c r="R40" s="152"/>
      <c r="S40" s="152"/>
      <c r="T40" s="152"/>
      <c r="U40" s="152"/>
      <c r="V40" s="152"/>
      <c r="AU40" s="391"/>
      <c r="AV40" s="391"/>
      <c r="AW40" s="391"/>
      <c r="AX40" s="391"/>
      <c r="AY40" s="391"/>
      <c r="AZ40" s="391"/>
      <c r="BA40" s="391"/>
      <c r="BB40" s="391"/>
      <c r="BC40" s="391"/>
      <c r="BD40" s="391"/>
      <c r="BE40" s="391">
        <f>(1+6*(SIN(RADIANS(O36))))*H33</f>
        <v>52.426406871192846</v>
      </c>
      <c r="BF40" s="391"/>
      <c r="BG40" s="391"/>
      <c r="BH40" s="391"/>
      <c r="BI40" s="391"/>
      <c r="BJ40" s="391">
        <f>MAX(BJ37*ABS(SIN(RADIANS(O36)))*H33,3*H33)</f>
        <v>565.6854249492379</v>
      </c>
      <c r="BK40" s="391"/>
    </row>
    <row r="41" spans="2:63" ht="15" customHeight="1">
      <c r="B41" s="155" t="s">
        <v>335</v>
      </c>
      <c r="C41" s="152"/>
      <c r="D41" s="152">
        <f>0.082*(1-(0.01*H33))*O34</f>
        <v>25.092000000000002</v>
      </c>
      <c r="E41" s="152"/>
      <c r="F41" s="152"/>
      <c r="G41" s="152"/>
      <c r="H41" s="152"/>
      <c r="I41" s="152"/>
      <c r="J41" s="152"/>
      <c r="K41" s="152" t="s">
        <v>312</v>
      </c>
      <c r="L41" s="152"/>
      <c r="M41" s="152"/>
      <c r="N41" s="152"/>
      <c r="O41" s="152">
        <f>VLOOKUP(O40,AV4:AW6,2)</f>
        <v>235</v>
      </c>
      <c r="P41" s="152"/>
      <c r="Q41" s="152"/>
      <c r="R41" s="152"/>
      <c r="S41" s="152"/>
      <c r="T41" s="152"/>
      <c r="U41" s="152"/>
      <c r="V41" s="152"/>
      <c r="AU41" s="391"/>
      <c r="AV41" s="391"/>
      <c r="AW41" s="391"/>
      <c r="AX41" s="391"/>
      <c r="AY41" s="391"/>
      <c r="AZ41" s="391"/>
      <c r="BA41" s="391"/>
      <c r="BB41" s="391"/>
      <c r="BC41" s="391"/>
      <c r="BD41" s="391" t="s">
        <v>367</v>
      </c>
      <c r="BE41" s="391">
        <f>MAX((2+(2*SIN(RADIANS(O36))))*H33,3*H33)</f>
        <v>34.14213562373095</v>
      </c>
      <c r="BF41" s="391"/>
      <c r="BG41" s="391"/>
      <c r="BH41" s="391"/>
      <c r="BI41" s="391" t="s">
        <v>367</v>
      </c>
      <c r="BJ41" s="391">
        <f>MAX((2+(2*SIN(RADIANS(O36))))*H33,3*H33)</f>
        <v>34.14213562373095</v>
      </c>
      <c r="BK41" s="391"/>
    </row>
    <row r="42" spans="2:63" ht="15" customHeight="1">
      <c r="B42" s="160" t="s">
        <v>209</v>
      </c>
      <c r="C42" s="152">
        <f>IF(AND(O34&gt;=290,O34&lt;=460),1.35+(0.015*H33),0.9+(0.015*H33))</f>
        <v>1.5</v>
      </c>
      <c r="D42" s="152"/>
      <c r="E42" s="152"/>
      <c r="F42" s="152"/>
      <c r="G42" s="152"/>
      <c r="H42" s="152"/>
      <c r="I42" s="152"/>
      <c r="J42" s="152"/>
      <c r="K42" s="153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AU42" s="391"/>
      <c r="AV42" s="391"/>
      <c r="AW42" s="391"/>
      <c r="AX42" s="391"/>
      <c r="AY42" s="391"/>
      <c r="AZ42" s="391"/>
      <c r="BA42" s="391"/>
      <c r="BB42" s="391"/>
      <c r="BC42" s="391"/>
      <c r="BD42" s="391" t="s">
        <v>368</v>
      </c>
      <c r="BE42" s="391">
        <f>3*H33</f>
        <v>30</v>
      </c>
      <c r="BF42" s="391"/>
      <c r="BG42" s="391"/>
      <c r="BH42" s="391"/>
      <c r="BI42" s="391" t="s">
        <v>368</v>
      </c>
      <c r="BJ42" s="391">
        <f>3*H33</f>
        <v>30</v>
      </c>
      <c r="BK42" s="391"/>
    </row>
    <row r="43" spans="2:63" ht="15" customHeight="1"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AU43" s="391"/>
      <c r="AV43" s="391"/>
      <c r="AW43" s="391"/>
      <c r="AX43" s="391"/>
      <c r="AY43" s="391"/>
      <c r="AZ43" s="391"/>
      <c r="BA43" s="391"/>
      <c r="BB43" s="391"/>
      <c r="BC43" s="391"/>
      <c r="BD43" s="391"/>
      <c r="BE43" s="391"/>
      <c r="BF43" s="391"/>
      <c r="BG43" s="391"/>
      <c r="BH43" s="391"/>
      <c r="BI43" s="391"/>
      <c r="BJ43" s="391"/>
      <c r="BK43" s="391"/>
    </row>
    <row r="44" spans="2:63" ht="15" customHeight="1">
      <c r="B44" s="152" t="s">
        <v>331</v>
      </c>
      <c r="C44" s="152"/>
      <c r="D44" s="152"/>
      <c r="E44" s="152"/>
      <c r="F44" s="152"/>
      <c r="G44" s="154">
        <f>0.53*O41*H33*O39</f>
        <v>13700.5</v>
      </c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AU44" s="391"/>
      <c r="AV44" s="391"/>
      <c r="AW44" s="391"/>
      <c r="AX44" s="391"/>
      <c r="AY44" s="391"/>
      <c r="AZ44" s="391"/>
      <c r="BA44" s="391"/>
      <c r="BB44" s="391"/>
      <c r="BC44" s="391"/>
      <c r="BD44" s="391"/>
      <c r="BE44" s="391"/>
      <c r="BF44" s="391"/>
      <c r="BG44" s="391"/>
      <c r="BH44" s="391"/>
      <c r="BI44" s="391"/>
      <c r="BJ44" s="391"/>
      <c r="BK44" s="391"/>
    </row>
    <row r="45" spans="24:63" ht="15" customHeight="1">
      <c r="X45" t="s">
        <v>283</v>
      </c>
      <c r="AA45" t="s">
        <v>284</v>
      </c>
      <c r="AB45" s="97"/>
      <c r="AC45" s="97"/>
      <c r="AD45" t="s">
        <v>285</v>
      </c>
      <c r="AE45" s="97"/>
      <c r="AF45" s="97"/>
      <c r="AG45" t="s">
        <v>286</v>
      </c>
      <c r="AU45" s="391"/>
      <c r="AV45" s="391"/>
      <c r="AW45" s="391"/>
      <c r="AX45" s="391"/>
      <c r="AY45" s="391"/>
      <c r="AZ45" s="391"/>
      <c r="BA45" s="391"/>
      <c r="BB45" s="391"/>
      <c r="BC45" s="391"/>
      <c r="BD45" s="391"/>
      <c r="BE45" s="391"/>
      <c r="BF45" s="391"/>
      <c r="BG45" s="391"/>
      <c r="BH45" s="391"/>
      <c r="BI45" s="391"/>
      <c r="BJ45" s="391"/>
      <c r="BK45" s="391"/>
    </row>
    <row r="46" spans="2:63" ht="15" customHeight="1">
      <c r="B46" s="131" t="s">
        <v>216</v>
      </c>
      <c r="AA46" s="170" t="s">
        <v>416</v>
      </c>
      <c r="AU46" s="391"/>
      <c r="AV46" s="391"/>
      <c r="AW46" s="391"/>
      <c r="AX46" s="391"/>
      <c r="AY46" s="391"/>
      <c r="AZ46" s="391"/>
      <c r="BA46" s="391"/>
      <c r="BB46" s="391"/>
      <c r="BC46" s="391"/>
      <c r="BD46" s="391"/>
      <c r="BE46" s="391"/>
      <c r="BF46" s="391"/>
      <c r="BG46" s="391"/>
      <c r="BH46" s="391"/>
      <c r="BI46" s="391"/>
      <c r="BJ46" s="391"/>
      <c r="BK46" s="391"/>
    </row>
    <row r="47" spans="2:63" ht="15" customHeight="1">
      <c r="B47" s="25" t="s">
        <v>417</v>
      </c>
      <c r="AU47" s="391"/>
      <c r="AV47" s="391"/>
      <c r="AW47" s="391"/>
      <c r="AX47" s="391"/>
      <c r="AY47" s="391"/>
      <c r="AZ47" s="391"/>
      <c r="BA47" s="391"/>
      <c r="BB47" s="391"/>
      <c r="BC47" s="391"/>
      <c r="BD47" s="391"/>
      <c r="BE47" s="391"/>
      <c r="BF47" s="391"/>
      <c r="BG47" s="391"/>
      <c r="BH47" s="391"/>
      <c r="BI47" s="391"/>
      <c r="BJ47" s="391"/>
      <c r="BK47" s="391"/>
    </row>
    <row r="48" spans="24:63" ht="15" customHeight="1">
      <c r="X48" s="175" t="s">
        <v>392</v>
      </c>
      <c r="AG48" s="1" t="s">
        <v>414</v>
      </c>
      <c r="AU48" s="391"/>
      <c r="AV48" s="391"/>
      <c r="AW48" s="391"/>
      <c r="AX48" s="391"/>
      <c r="AY48" s="391"/>
      <c r="AZ48" s="391"/>
      <c r="BA48" s="391"/>
      <c r="BB48" s="391"/>
      <c r="BC48" s="391"/>
      <c r="BD48" s="391"/>
      <c r="BE48" s="391"/>
      <c r="BF48" s="391"/>
      <c r="BG48" s="391"/>
      <c r="BH48" s="391"/>
      <c r="BI48" s="391"/>
      <c r="BJ48" s="391"/>
      <c r="BK48" s="391"/>
    </row>
    <row r="49" spans="2:63" ht="15" customHeight="1">
      <c r="B49" t="s">
        <v>183</v>
      </c>
      <c r="C49" s="2" t="s">
        <v>326</v>
      </c>
      <c r="D49" s="151">
        <f>IF(O39&lt;=0.5*H33,AY34,IF(O39&gt;=H33,AY35,"-"))</f>
        <v>7207.678468943975</v>
      </c>
      <c r="Y49" s="178" t="s">
        <v>385</v>
      </c>
      <c r="Z49" s="178" t="s">
        <v>386</v>
      </c>
      <c r="AA49" s="178" t="s">
        <v>387</v>
      </c>
      <c r="AB49" s="178" t="s">
        <v>388</v>
      </c>
      <c r="AC49" s="178" t="s">
        <v>389</v>
      </c>
      <c r="AD49" s="178" t="s">
        <v>390</v>
      </c>
      <c r="AG49" s="185" t="s">
        <v>328</v>
      </c>
      <c r="AH49" s="129" t="s">
        <v>413</v>
      </c>
      <c r="AI49" s="129"/>
      <c r="AU49" s="391"/>
      <c r="AV49" s="391"/>
      <c r="AW49" s="391"/>
      <c r="AX49" s="391"/>
      <c r="AY49" s="391"/>
      <c r="AZ49" s="391"/>
      <c r="BA49" s="391"/>
      <c r="BB49" s="391"/>
      <c r="BC49" s="391"/>
      <c r="BD49" s="391"/>
      <c r="BE49" s="391"/>
      <c r="BF49" s="391"/>
      <c r="BG49" s="391"/>
      <c r="BH49" s="391"/>
      <c r="BI49" s="391"/>
      <c r="BJ49" s="391"/>
      <c r="BK49" s="391"/>
    </row>
    <row r="50" spans="2:35" ht="15" customHeight="1">
      <c r="B50" t="s">
        <v>184</v>
      </c>
      <c r="C50" s="2" t="s">
        <v>326</v>
      </c>
      <c r="D50" s="151">
        <f>IF(O39&lt;=0.5*H33,AZ34,IF(O39&gt;=H33,AZ35,"-"))</f>
        <v>11261.625897192469</v>
      </c>
      <c r="X50" s="155" t="s">
        <v>369</v>
      </c>
      <c r="Y50" s="171">
        <f>BE35</f>
        <v>47.071067811865476</v>
      </c>
      <c r="Z50" s="171">
        <f>BE36</f>
        <v>40</v>
      </c>
      <c r="AA50" s="171">
        <f>BE37</f>
        <v>80</v>
      </c>
      <c r="AB50" s="171">
        <f>IF(150&lt;=O36&lt;210,BE39,BE38)</f>
        <v>52.426406871192846</v>
      </c>
      <c r="AC50" s="171">
        <f>BE41</f>
        <v>34.14213562373095</v>
      </c>
      <c r="AD50" s="171">
        <f>BE42</f>
        <v>30</v>
      </c>
      <c r="AE50" s="160" t="s">
        <v>369</v>
      </c>
      <c r="AG50" s="171">
        <f>H33+1</f>
        <v>11</v>
      </c>
      <c r="AH50" s="152">
        <f>H33</f>
        <v>10</v>
      </c>
      <c r="AI50" t="s">
        <v>412</v>
      </c>
    </row>
    <row r="51" spans="2:10" ht="15" customHeight="1">
      <c r="B51" t="s">
        <v>185</v>
      </c>
      <c r="C51" s="2" t="s">
        <v>326</v>
      </c>
      <c r="D51" s="151">
        <f>IF(O39&lt;=0.5*H33,"-",IF(O39&gt;=H33,BA35,"-"))</f>
        <v>10036.800000000001</v>
      </c>
      <c r="J51" t="s">
        <v>419</v>
      </c>
    </row>
    <row r="52" ht="15" customHeight="1">
      <c r="X52" s="175" t="s">
        <v>332</v>
      </c>
    </row>
    <row r="53" spans="3:33" ht="15" customHeight="1">
      <c r="C53" s="2" t="s">
        <v>326</v>
      </c>
      <c r="D53" s="151">
        <f>IF(OR(O39&lt;=0.5*H33,O39&gt;=H33),MIN(D49:D51),"-")</f>
        <v>7207.678468943975</v>
      </c>
      <c r="J53" s="2" t="s">
        <v>326</v>
      </c>
      <c r="K53" s="151" t="str">
        <f>IF(AND(O39&gt;0.5*H33,O39&lt;H33),BB36,"-")</f>
        <v>-</v>
      </c>
      <c r="Y53" s="178" t="s">
        <v>385</v>
      </c>
      <c r="Z53" s="178" t="s">
        <v>386</v>
      </c>
      <c r="AA53" s="178" t="s">
        <v>387</v>
      </c>
      <c r="AB53" s="178" t="s">
        <v>388</v>
      </c>
      <c r="AC53" s="178" t="s">
        <v>389</v>
      </c>
      <c r="AD53" s="178" t="s">
        <v>390</v>
      </c>
      <c r="AG53" s="1" t="s">
        <v>414</v>
      </c>
    </row>
    <row r="54" spans="3:34" ht="15" customHeight="1">
      <c r="C54" s="2" t="s">
        <v>327</v>
      </c>
      <c r="D54" s="151">
        <f>IF(OR(O39&lt;=0.5*H33,O39&gt;=H33),D53*U35/U36,"-")</f>
        <v>3603.8392344719873</v>
      </c>
      <c r="J54" s="2" t="s">
        <v>327</v>
      </c>
      <c r="K54" s="151" t="str">
        <f>IF(AND(O39&gt;0.5*H33,O39&lt;H33),K53*U35/U36,"-")</f>
        <v>-</v>
      </c>
      <c r="X54" s="155" t="s">
        <v>369</v>
      </c>
      <c r="Y54" s="171">
        <f>BJ35</f>
        <v>44.14213562373095</v>
      </c>
      <c r="Z54" s="171">
        <f>BJ36</f>
        <v>30</v>
      </c>
      <c r="AA54" s="171">
        <f>BJ37</f>
        <v>80</v>
      </c>
      <c r="AB54" s="171">
        <f>IF(150&lt;=O36&lt;210,BJ39,BJ38)</f>
        <v>565.6854249492379</v>
      </c>
      <c r="AC54" s="171">
        <f>BJ41</f>
        <v>34.14213562373095</v>
      </c>
      <c r="AD54" s="171">
        <f>BJ42</f>
        <v>30</v>
      </c>
      <c r="AE54" s="160" t="s">
        <v>369</v>
      </c>
      <c r="AG54" s="180">
        <f>IF(O34&lt;=460,0.75*H33,0.9*H33)</f>
        <v>7.5</v>
      </c>
      <c r="AH54" t="s">
        <v>412</v>
      </c>
    </row>
    <row r="55" spans="3:33" ht="15" customHeight="1">
      <c r="C55" s="2" t="s">
        <v>202</v>
      </c>
      <c r="F55" s="182">
        <f>IF(OR(O39&lt;=0.5*H33,O39&gt;=H33),U32/D54,"-")</f>
        <v>6.937046403420615</v>
      </c>
      <c r="G55" s="1" t="str">
        <f>IF(MIN(D49:D51)&gt;G44,"FALLO PLACA ACERO"," ")</f>
        <v xml:space="preserve"> </v>
      </c>
      <c r="J55" s="2" t="s">
        <v>202</v>
      </c>
      <c r="N55" s="182" t="str">
        <f>IF(AND(O39&gt;0.5*H33,O39&lt;H33),U32/K54,"-")</f>
        <v>-</v>
      </c>
      <c r="P55" s="1" t="str">
        <f>IF(AND(O39&gt;0.5*H33,O39&lt;H33,BB36&gt;G44),"FALLO PLACA ACERO"," ")</f>
        <v xml:space="preserve"> </v>
      </c>
      <c r="AG55" s="186"/>
    </row>
    <row r="58" s="149" customFormat="1" ht="15" customHeight="1">
      <c r="B58" s="148" t="s">
        <v>211</v>
      </c>
    </row>
    <row r="60" ht="15" customHeight="1">
      <c r="B60" s="144" t="s">
        <v>343</v>
      </c>
    </row>
    <row r="62" spans="2:11" ht="15" customHeight="1">
      <c r="B62" s="132" t="s">
        <v>361</v>
      </c>
      <c r="K62" s="132" t="s">
        <v>177</v>
      </c>
    </row>
    <row r="63" spans="2:22" ht="15" customHeight="1"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</row>
    <row r="64" spans="2:22" ht="15" customHeight="1">
      <c r="B64" s="152" t="s">
        <v>318</v>
      </c>
      <c r="C64" s="152"/>
      <c r="D64" s="152"/>
      <c r="E64" s="380" t="s">
        <v>325</v>
      </c>
      <c r="F64" s="382"/>
      <c r="G64" s="152"/>
      <c r="H64" s="152"/>
      <c r="I64" s="152"/>
      <c r="J64" s="152"/>
      <c r="K64" s="152" t="s">
        <v>407</v>
      </c>
      <c r="L64" s="152"/>
      <c r="M64" s="152"/>
      <c r="N64" s="152"/>
      <c r="O64" s="152"/>
      <c r="P64" s="152"/>
      <c r="Q64" s="152"/>
      <c r="R64" s="152" t="s">
        <v>423</v>
      </c>
      <c r="S64" s="152"/>
      <c r="T64" s="152"/>
      <c r="U64" s="386">
        <v>25000</v>
      </c>
      <c r="V64" s="152"/>
    </row>
    <row r="65" spans="2:22" ht="15" customHeight="1">
      <c r="B65" s="163" t="s">
        <v>324</v>
      </c>
      <c r="C65" s="152"/>
      <c r="D65" s="152"/>
      <c r="E65" s="387">
        <v>5</v>
      </c>
      <c r="F65" s="152"/>
      <c r="G65" s="152"/>
      <c r="H65" s="152"/>
      <c r="I65" s="152"/>
      <c r="J65" s="152"/>
      <c r="K65" s="152" t="s">
        <v>91</v>
      </c>
      <c r="L65" s="152"/>
      <c r="M65" s="152"/>
      <c r="N65" s="152"/>
      <c r="O65" s="387" t="s">
        <v>9</v>
      </c>
      <c r="P65" s="152"/>
      <c r="Q65" s="152"/>
      <c r="R65" s="152" t="s">
        <v>203</v>
      </c>
      <c r="S65" s="152"/>
      <c r="T65" s="152"/>
      <c r="U65" s="386">
        <v>1</v>
      </c>
      <c r="V65" s="152"/>
    </row>
    <row r="66" spans="2:22" ht="15" customHeight="1">
      <c r="B66" s="152"/>
      <c r="C66" s="152"/>
      <c r="D66" s="152"/>
      <c r="E66" s="152"/>
      <c r="F66" s="152"/>
      <c r="G66" s="152"/>
      <c r="H66" s="152"/>
      <c r="I66" s="152"/>
      <c r="J66" s="152"/>
      <c r="K66" s="153" t="s">
        <v>339</v>
      </c>
      <c r="L66" s="152"/>
      <c r="M66" s="152"/>
      <c r="N66" s="152"/>
      <c r="O66" s="152">
        <f>HLOOKUP(O65,'Propiedades_bases cálculo'!C9:AD24,10,FALSE)</f>
        <v>310</v>
      </c>
      <c r="P66" s="152"/>
      <c r="Q66" s="152"/>
      <c r="R66" s="153" t="s">
        <v>204</v>
      </c>
      <c r="S66" s="152"/>
      <c r="T66" s="152"/>
      <c r="U66" s="387" t="s">
        <v>70</v>
      </c>
      <c r="V66" s="152"/>
    </row>
    <row r="67" spans="2:22" ht="15" customHeight="1">
      <c r="B67" s="152" t="s">
        <v>322</v>
      </c>
      <c r="C67" s="152"/>
      <c r="D67" s="152"/>
      <c r="E67" s="152"/>
      <c r="F67" s="152"/>
      <c r="G67" s="386">
        <v>600</v>
      </c>
      <c r="H67" s="152"/>
      <c r="I67" s="152"/>
      <c r="J67" s="152"/>
      <c r="K67" s="153" t="s">
        <v>340</v>
      </c>
      <c r="L67" s="152"/>
      <c r="M67" s="152"/>
      <c r="N67" s="152"/>
      <c r="O67" s="386">
        <v>25</v>
      </c>
      <c r="P67" s="152"/>
      <c r="Q67" s="152"/>
      <c r="R67" s="155" t="s">
        <v>182</v>
      </c>
      <c r="S67" s="152"/>
      <c r="T67" s="152"/>
      <c r="U67" s="152">
        <f>INDEX('Propiedades_bases cálculo'!B29:G32,MATCH('UNIONES ACERO-MADERA'!U65,'Propiedades_bases cálculo'!B29:B32,0),MATCH('UNIONES ACERO-MADERA'!U66,'Propiedades_bases cálculo'!B29:G29,0))</f>
        <v>1.1</v>
      </c>
      <c r="V67" s="152"/>
    </row>
    <row r="68" spans="2:27" ht="15" customHeight="1">
      <c r="B68" s="152"/>
      <c r="C68" s="152"/>
      <c r="D68" s="152"/>
      <c r="E68" s="152"/>
      <c r="F68" s="152"/>
      <c r="G68" s="152"/>
      <c r="H68" s="152"/>
      <c r="I68" s="152"/>
      <c r="J68" s="152"/>
      <c r="K68" s="153" t="s">
        <v>200</v>
      </c>
      <c r="L68" s="152"/>
      <c r="M68" s="152"/>
      <c r="N68" s="152"/>
      <c r="O68" s="388">
        <v>0</v>
      </c>
      <c r="P68" s="152"/>
      <c r="Q68" s="152"/>
      <c r="R68" s="158" t="s">
        <v>342</v>
      </c>
      <c r="S68" s="152"/>
      <c r="T68" s="152"/>
      <c r="U68" s="152">
        <v>1.3</v>
      </c>
      <c r="V68" s="152"/>
      <c r="AA68" s="169" t="s">
        <v>415</v>
      </c>
    </row>
    <row r="69" spans="2:22" ht="15" customHeight="1">
      <c r="B69" s="152" t="s">
        <v>336</v>
      </c>
      <c r="C69" s="152"/>
      <c r="D69" s="152"/>
      <c r="E69" s="152"/>
      <c r="F69" s="152"/>
      <c r="G69" s="152">
        <f>VLOOKUP(E64,AV71:AZ74,4)</f>
        <v>11819.37511981695</v>
      </c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</row>
    <row r="70" spans="2:64" ht="15" customHeight="1">
      <c r="B70" s="152"/>
      <c r="C70" s="152"/>
      <c r="D70" s="152"/>
      <c r="E70" s="152"/>
      <c r="F70" s="152"/>
      <c r="G70" s="152"/>
      <c r="H70" s="152"/>
      <c r="I70" s="152"/>
      <c r="J70" s="152"/>
      <c r="K70" s="153" t="s">
        <v>406</v>
      </c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AV70" s="391"/>
      <c r="AW70" s="391"/>
      <c r="AX70" s="391"/>
      <c r="AY70" s="391"/>
      <c r="AZ70" s="391"/>
      <c r="BA70" s="391"/>
      <c r="BB70" s="391"/>
      <c r="BC70" s="391"/>
      <c r="BD70" s="391"/>
      <c r="BE70" s="391"/>
      <c r="BF70" s="391"/>
      <c r="BG70" s="391"/>
      <c r="BH70" s="391"/>
      <c r="BI70" s="391"/>
      <c r="BJ70" s="391"/>
      <c r="BK70" s="391"/>
      <c r="BL70" s="391"/>
    </row>
    <row r="71" spans="2:64" ht="15" customHeight="1">
      <c r="B71" s="152" t="s">
        <v>337</v>
      </c>
      <c r="C71" s="152"/>
      <c r="D71" s="152"/>
      <c r="E71" s="152"/>
      <c r="F71" s="152"/>
      <c r="G71" s="152">
        <f>VLOOKUP(E64,AV71:AZ74,5)</f>
        <v>15.685000790342645</v>
      </c>
      <c r="H71" s="152"/>
      <c r="I71" s="152"/>
      <c r="J71" s="152"/>
      <c r="K71" s="166" t="s">
        <v>333</v>
      </c>
      <c r="L71" s="152"/>
      <c r="M71" s="152"/>
      <c r="N71" s="152"/>
      <c r="O71" s="386">
        <v>2</v>
      </c>
      <c r="P71" s="152"/>
      <c r="Q71" s="152"/>
      <c r="R71" s="152"/>
      <c r="S71" s="152"/>
      <c r="T71" s="152"/>
      <c r="U71" s="152"/>
      <c r="V71" s="152"/>
      <c r="AV71" s="391"/>
      <c r="AW71" s="391"/>
      <c r="AX71" s="391"/>
      <c r="AY71" s="391" t="s">
        <v>319</v>
      </c>
      <c r="AZ71" s="391" t="s">
        <v>320</v>
      </c>
      <c r="BA71" s="391" t="s">
        <v>369</v>
      </c>
      <c r="BB71" s="391"/>
      <c r="BC71" s="391" t="s">
        <v>410</v>
      </c>
      <c r="BD71" s="391"/>
      <c r="BE71" s="391"/>
      <c r="BF71" s="391" t="s">
        <v>381</v>
      </c>
      <c r="BG71" s="391"/>
      <c r="BH71" s="391"/>
      <c r="BI71" s="391"/>
      <c r="BJ71" s="391"/>
      <c r="BK71" s="391"/>
      <c r="BL71" s="391"/>
    </row>
    <row r="72" spans="2:64" ht="15" customHeight="1">
      <c r="B72" s="152"/>
      <c r="C72" s="152"/>
      <c r="D72" s="152"/>
      <c r="E72" s="152"/>
      <c r="F72" s="152"/>
      <c r="G72" s="152"/>
      <c r="H72" s="152"/>
      <c r="I72" s="152"/>
      <c r="J72" s="152"/>
      <c r="K72" s="152" t="s">
        <v>352</v>
      </c>
      <c r="L72" s="152"/>
      <c r="M72" s="152"/>
      <c r="N72" s="152"/>
      <c r="O72" s="387" t="s">
        <v>313</v>
      </c>
      <c r="P72" s="152"/>
      <c r="Q72" s="152"/>
      <c r="R72" s="152"/>
      <c r="S72" s="152"/>
      <c r="T72" s="152"/>
      <c r="U72" s="152"/>
      <c r="V72" s="152"/>
      <c r="AV72" s="391" t="s">
        <v>316</v>
      </c>
      <c r="AW72" s="391"/>
      <c r="AX72" s="391"/>
      <c r="AY72" s="391">
        <f>(G67/600)*180*E65^2.6</f>
        <v>11819.37511981695</v>
      </c>
      <c r="AZ72" s="391">
        <f>IF(OR(O66&gt;=500,E65&gt;6,O67&lt;MAX(7*E65,((13*E65)-30)*O66/400)),0.082*(1-(0.01*E65))*O66,0.082*O66*(E65^-0.3))</f>
        <v>24.148999999999997</v>
      </c>
      <c r="BA72" s="391" t="str">
        <f>IF(OR(O66&gt;=500,E65&gt;6,O67&lt;MAX(7*E65,((13*E65)-30)*O66/400)),"pretaladro","sin pretaladro")</f>
        <v>pretaladro</v>
      </c>
      <c r="BB72" s="391"/>
      <c r="BC72" s="391">
        <f>0.75*E65</f>
        <v>3.75</v>
      </c>
      <c r="BD72" s="391"/>
      <c r="BE72" s="391" t="s">
        <v>369</v>
      </c>
      <c r="BF72" s="391" t="s">
        <v>370</v>
      </c>
      <c r="BG72" s="391"/>
      <c r="BH72" s="391" t="s">
        <v>380</v>
      </c>
      <c r="BI72" s="391"/>
      <c r="BJ72" s="391"/>
      <c r="BK72" s="391" t="s">
        <v>382</v>
      </c>
      <c r="BL72" s="391"/>
    </row>
    <row r="73" spans="2:64" ht="15" customHeight="1">
      <c r="B73" s="152" t="s">
        <v>338</v>
      </c>
      <c r="C73" s="152"/>
      <c r="D73" s="152"/>
      <c r="E73" s="152"/>
      <c r="F73" s="152"/>
      <c r="G73" s="154">
        <f>0.53*O73*E65*O71</f>
        <v>1245.5</v>
      </c>
      <c r="H73" s="152"/>
      <c r="I73" s="152"/>
      <c r="J73" s="152"/>
      <c r="K73" s="152" t="s">
        <v>341</v>
      </c>
      <c r="L73" s="152"/>
      <c r="M73" s="152"/>
      <c r="N73" s="152"/>
      <c r="O73" s="152">
        <f>VLOOKUP(O72,AV4:AW6,2)</f>
        <v>235</v>
      </c>
      <c r="P73" s="152"/>
      <c r="Q73" s="152"/>
      <c r="R73" s="152"/>
      <c r="S73" s="152"/>
      <c r="T73" s="152"/>
      <c r="U73" s="152"/>
      <c r="V73" s="152"/>
      <c r="AV73" s="391" t="s">
        <v>317</v>
      </c>
      <c r="AW73" s="391"/>
      <c r="AX73" s="391"/>
      <c r="AY73" s="391">
        <f>(G67/600)*270*E65^2.6</f>
        <v>17729.062679725426</v>
      </c>
      <c r="AZ73" s="391">
        <f>IF(OR(O66&gt;=500,E65&gt;6,O67&lt;MAX(7*E65,((13*E65)-30)*O66/400)),0.082*(1-(0.01*E65))*O66,0.082*O66*(E65^-0.3))</f>
        <v>24.148999999999997</v>
      </c>
      <c r="BA73" s="391" t="str">
        <f>IF(OR(O66&gt;=500,E65&gt;6,O67&lt;MAX(7*E65,((13*E65)-30)*O66/400)),"pretaladro","sin pretaladro")</f>
        <v>pretaladro</v>
      </c>
      <c r="BB73" s="391"/>
      <c r="BC73" s="391">
        <f>0.75*E65</f>
        <v>3.75</v>
      </c>
      <c r="BD73" s="391"/>
      <c r="BE73" s="391" t="s">
        <v>363</v>
      </c>
      <c r="BF73" s="391">
        <f>IF(E65&lt;5,(5+5*ABS(COS(RADIANS(O68))))*E65,(5+7*ABS(COS(RADIANS(O68))))*E65)</f>
        <v>60</v>
      </c>
      <c r="BG73" s="391"/>
      <c r="BH73" s="391">
        <f>(7+(8*ABS(COS(RADIANS(O68)))))*E65</f>
        <v>75</v>
      </c>
      <c r="BI73" s="391"/>
      <c r="BJ73" s="391"/>
      <c r="BK73" s="391">
        <f>(4+COS(RADIANS(O68)))*E65</f>
        <v>25</v>
      </c>
      <c r="BL73" s="391"/>
    </row>
    <row r="74" spans="48:64" ht="15" customHeight="1">
      <c r="AV74" s="391" t="s">
        <v>325</v>
      </c>
      <c r="AW74" s="391"/>
      <c r="AX74" s="391"/>
      <c r="AY74" s="391">
        <f>(G67/600)*180*E65^2.6</f>
        <v>11819.37511981695</v>
      </c>
      <c r="AZ74" s="391">
        <f>IF(OR(O66&lt;=460,E65&lt;6,),0.082*O66*E65^(-0.3),0.082*(1-(0.01*E65))*O66)</f>
        <v>15.685000790342645</v>
      </c>
      <c r="BA74" s="391" t="str">
        <f>IF(AND(O66&lt;=460,E65&lt;6),"sin pretaladro","pretaladro")</f>
        <v>sin pretaladro</v>
      </c>
      <c r="BB74" s="391"/>
      <c r="BC74" s="391">
        <f>E65</f>
        <v>5</v>
      </c>
      <c r="BD74" s="391"/>
      <c r="BE74" s="391" t="s">
        <v>364</v>
      </c>
      <c r="BF74" s="391">
        <f>5*E65</f>
        <v>25</v>
      </c>
      <c r="BG74" s="391"/>
      <c r="BH74" s="391">
        <f>7*E65</f>
        <v>35</v>
      </c>
      <c r="BI74" s="391"/>
      <c r="BJ74" s="391"/>
      <c r="BK74" s="391">
        <f>(3+ABS(SIN(RADIANS(O68))))*E65</f>
        <v>15</v>
      </c>
      <c r="BL74" s="391"/>
    </row>
    <row r="75" spans="2:64" ht="15" customHeight="1">
      <c r="B75" s="131" t="s">
        <v>216</v>
      </c>
      <c r="AV75" s="391"/>
      <c r="AW75" s="391"/>
      <c r="AX75" s="391"/>
      <c r="AY75" s="391"/>
      <c r="AZ75" s="391"/>
      <c r="BA75" s="391"/>
      <c r="BB75" s="391"/>
      <c r="BC75" s="391"/>
      <c r="BD75" s="391"/>
      <c r="BE75" s="391" t="s">
        <v>365</v>
      </c>
      <c r="BF75" s="391">
        <f>(10+5*COS(RADIANS(O68)))*E65</f>
        <v>75</v>
      </c>
      <c r="BG75" s="391"/>
      <c r="BH75" s="391">
        <f>(15+(5*COS(RADIANS(O68))))*E65</f>
        <v>100</v>
      </c>
      <c r="BI75" s="391"/>
      <c r="BJ75" s="391"/>
      <c r="BK75" s="391">
        <f>(7+(5*COS(RADIANS(O68))))*E65</f>
        <v>60</v>
      </c>
      <c r="BL75" s="391"/>
    </row>
    <row r="76" spans="2:64" ht="15" customHeight="1">
      <c r="B76" s="25" t="s">
        <v>323</v>
      </c>
      <c r="AV76" s="391"/>
      <c r="AW76" s="391"/>
      <c r="AX76" s="391"/>
      <c r="AY76" s="391"/>
      <c r="AZ76" s="391"/>
      <c r="BA76" s="391"/>
      <c r="BB76" s="391"/>
      <c r="BC76" s="391"/>
      <c r="BD76" s="391"/>
      <c r="BE76" s="391" t="s">
        <v>366</v>
      </c>
      <c r="BF76" s="391">
        <f>10*E65</f>
        <v>50</v>
      </c>
      <c r="BG76" s="391"/>
      <c r="BH76" s="391">
        <f>15*E65</f>
        <v>75</v>
      </c>
      <c r="BI76" s="391"/>
      <c r="BJ76" s="391"/>
      <c r="BK76" s="391">
        <f>7*E65</f>
        <v>35</v>
      </c>
      <c r="BL76" s="391"/>
    </row>
    <row r="77" spans="24:64" ht="15" customHeight="1">
      <c r="X77" t="s">
        <v>283</v>
      </c>
      <c r="AA77" t="s">
        <v>284</v>
      </c>
      <c r="AB77" s="97"/>
      <c r="AC77" s="97"/>
      <c r="AD77" t="s">
        <v>285</v>
      </c>
      <c r="AE77" s="97"/>
      <c r="AF77" s="97"/>
      <c r="AG77" t="s">
        <v>286</v>
      </c>
      <c r="AV77" s="391"/>
      <c r="AW77" s="391"/>
      <c r="AX77" s="391"/>
      <c r="AY77" s="391"/>
      <c r="AZ77" s="391"/>
      <c r="BA77" s="391"/>
      <c r="BB77" s="391"/>
      <c r="BC77" s="391"/>
      <c r="BD77" s="391"/>
      <c r="BE77" s="391" t="s">
        <v>367</v>
      </c>
      <c r="BF77" s="391">
        <f>IF(E65&lt;5,(5+2*SIN(RADIANS(O68)))*E65,(5+5*SIN(RADIANS(O68)))*E65)</f>
        <v>25</v>
      </c>
      <c r="BG77" s="391"/>
      <c r="BH77" s="391">
        <f>IF(E65&lt;5,(7+(2*SIN(RADIANS(O68))))*E65,(7+(5*SIN(RADIANS(O68))))*E65)</f>
        <v>35</v>
      </c>
      <c r="BI77" s="391"/>
      <c r="BJ77" s="391"/>
      <c r="BK77" s="391">
        <f>IF(E65&lt;5,(3+(2*SIN(RADIANS(O68))))*E65,(3+(4*SIN(RADIANS(O68))))*E65)</f>
        <v>15</v>
      </c>
      <c r="BL77" s="391"/>
    </row>
    <row r="78" spans="2:64" ht="15" customHeight="1">
      <c r="B78" t="s">
        <v>183</v>
      </c>
      <c r="C78" s="2" t="s">
        <v>326</v>
      </c>
      <c r="D78">
        <f>G71*O67*E65</f>
        <v>1960.6250987928306</v>
      </c>
      <c r="AA78" s="170" t="s">
        <v>416</v>
      </c>
      <c r="AV78" s="391"/>
      <c r="AW78" s="391"/>
      <c r="AX78" s="391"/>
      <c r="AY78" s="391"/>
      <c r="AZ78" s="391"/>
      <c r="BA78" s="391"/>
      <c r="BB78" s="391"/>
      <c r="BC78" s="391"/>
      <c r="BD78" s="391"/>
      <c r="BE78" s="391" t="s">
        <v>368</v>
      </c>
      <c r="BF78" s="391">
        <f>3*E65</f>
        <v>15</v>
      </c>
      <c r="BG78" s="391"/>
      <c r="BH78" s="391">
        <f>7*E65</f>
        <v>35</v>
      </c>
      <c r="BI78" s="391"/>
      <c r="BJ78" s="391"/>
      <c r="BK78" s="391">
        <f>3*E65</f>
        <v>15</v>
      </c>
      <c r="BL78" s="391"/>
    </row>
    <row r="79" spans="2:64" ht="15" customHeight="1">
      <c r="B79" t="s">
        <v>184</v>
      </c>
      <c r="C79" s="2" t="s">
        <v>326</v>
      </c>
      <c r="D79">
        <f>G71*O67*E65*(((2+(4*G69/(G71*E65*O67*O67)))^0.5)-1)</f>
        <v>1415.1473636143285</v>
      </c>
      <c r="AV79" s="391"/>
      <c r="AW79" s="391"/>
      <c r="AX79" s="391"/>
      <c r="AY79" s="391"/>
      <c r="AZ79" s="391"/>
      <c r="BA79" s="391"/>
      <c r="BB79" s="391"/>
      <c r="BC79" s="391"/>
      <c r="BD79" s="391"/>
      <c r="BE79" s="391"/>
      <c r="BF79" s="391"/>
      <c r="BG79" s="391"/>
      <c r="BH79" s="391"/>
      <c r="BI79" s="391"/>
      <c r="BJ79" s="391"/>
      <c r="BK79" s="391"/>
      <c r="BL79" s="391"/>
    </row>
    <row r="80" spans="2:64" ht="15" customHeight="1">
      <c r="B80" t="s">
        <v>185</v>
      </c>
      <c r="C80" s="2" t="s">
        <v>326</v>
      </c>
      <c r="D80">
        <f>2.3*((G69*G71*E65)^0.5)</f>
        <v>2214.3811142463414</v>
      </c>
      <c r="Z80" s="178" t="s">
        <v>385</v>
      </c>
      <c r="AA80" s="178" t="s">
        <v>386</v>
      </c>
      <c r="AB80" s="178" t="s">
        <v>387</v>
      </c>
      <c r="AC80" s="178" t="s">
        <v>388</v>
      </c>
      <c r="AD80" s="178" t="s">
        <v>389</v>
      </c>
      <c r="AE80" s="178" t="s">
        <v>390</v>
      </c>
      <c r="AJ80" s="1" t="s">
        <v>411</v>
      </c>
      <c r="AV80" s="391"/>
      <c r="AW80" s="391"/>
      <c r="AX80" s="391"/>
      <c r="AY80" s="391"/>
      <c r="AZ80" s="391"/>
      <c r="BA80" s="391"/>
      <c r="BB80" s="391"/>
      <c r="BC80" s="391"/>
      <c r="BD80" s="391"/>
      <c r="BE80" s="391"/>
      <c r="BF80" s="391"/>
      <c r="BG80" s="391"/>
      <c r="BH80" s="391"/>
      <c r="BI80" s="391"/>
      <c r="BJ80" s="391"/>
      <c r="BK80" s="391"/>
      <c r="BL80" s="391"/>
    </row>
    <row r="81" spans="25:64" ht="15" customHeight="1">
      <c r="Y81" s="155" t="s">
        <v>369</v>
      </c>
      <c r="Z81" s="171">
        <f>IF(AG81="sin pretaladro",IF(O66&lt;=420,0.7*BF73,0.7*BH73),0.7*BK73)</f>
        <v>42</v>
      </c>
      <c r="AA81" s="171">
        <f>IF(AG81="sin pretaladro",IF(O66&lt;=420,0.7*BF74,0.7*BH74),0.7*BK74)</f>
        <v>17.5</v>
      </c>
      <c r="AB81" s="171">
        <f>IF(AG81="sin pretaladro",IF(O66&lt;=420,BF75,BH75),BK75)</f>
        <v>75</v>
      </c>
      <c r="AC81" s="171">
        <f>IF(AG81="sin pretaladro",IF(O66&lt;=420,BF76,BH76),BK76)</f>
        <v>50</v>
      </c>
      <c r="AD81" s="171">
        <f>IF(AG81="sin pretaladro",IF(O66&lt;=420,BF77,BH77),BK77)</f>
        <v>25</v>
      </c>
      <c r="AE81" s="171">
        <f>IF(AG81="sin pretaladro",IF(O66&lt;=420,BF78,BH78),BK78)</f>
        <v>15</v>
      </c>
      <c r="AF81" s="160" t="s">
        <v>369</v>
      </c>
      <c r="AG81" t="str">
        <f>VLOOKUP(E64,AV72:BA74,6,FALSE)</f>
        <v>sin pretaladro</v>
      </c>
      <c r="AJ81" s="180" t="str">
        <f>IF(AG81="pretaladro",VLOOKUP(E64,AV72:BC74,8,FALSE),"-")</f>
        <v>-</v>
      </c>
      <c r="AK81" t="s">
        <v>412</v>
      </c>
      <c r="AV81" s="391"/>
      <c r="AW81" s="391"/>
      <c r="AX81" s="391"/>
      <c r="AY81" s="391"/>
      <c r="AZ81" s="391"/>
      <c r="BA81" s="391"/>
      <c r="BB81" s="391"/>
      <c r="BC81" s="391"/>
      <c r="BD81" s="391"/>
      <c r="BE81" s="391"/>
      <c r="BF81" s="391"/>
      <c r="BG81" s="391"/>
      <c r="BH81" s="391"/>
      <c r="BI81" s="391"/>
      <c r="BJ81" s="391"/>
      <c r="BK81" s="391"/>
      <c r="BL81" s="391"/>
    </row>
    <row r="82" spans="3:4" ht="15" customHeight="1">
      <c r="C82" s="2" t="s">
        <v>326</v>
      </c>
      <c r="D82">
        <f>MIN(D78:D80)</f>
        <v>1415.1473636143285</v>
      </c>
    </row>
    <row r="83" spans="3:4" ht="15" customHeight="1">
      <c r="C83" s="2" t="s">
        <v>327</v>
      </c>
      <c r="D83">
        <f>D82*U67/U68</f>
        <v>1197.4323845967397</v>
      </c>
    </row>
    <row r="84" spans="3:6" ht="15" customHeight="1">
      <c r="C84" s="1" t="s">
        <v>214</v>
      </c>
      <c r="F84">
        <f>2*D83</f>
        <v>2394.8647691934793</v>
      </c>
    </row>
    <row r="85" spans="3:7" ht="15" customHeight="1">
      <c r="C85" s="2" t="s">
        <v>202</v>
      </c>
      <c r="F85" s="1">
        <f>U64/F84</f>
        <v>10.439002786958728</v>
      </c>
      <c r="G85" s="1" t="str">
        <f>IF(MIN(D78:D80)&gt;G73,"FALLO PLACA ACERO"," ")</f>
        <v>FALLO PLACA ACERO</v>
      </c>
    </row>
    <row r="87" spans="2:11" ht="15" customHeight="1">
      <c r="B87" s="133" t="s">
        <v>360</v>
      </c>
      <c r="K87" s="132" t="s">
        <v>177</v>
      </c>
    </row>
    <row r="88" spans="2:22" ht="15" customHeight="1"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</row>
    <row r="89" spans="2:22" ht="15" customHeight="1">
      <c r="B89" s="152" t="s">
        <v>195</v>
      </c>
      <c r="C89" s="152"/>
      <c r="D89" s="152"/>
      <c r="E89" s="152"/>
      <c r="F89" s="152"/>
      <c r="G89" s="152"/>
      <c r="H89" s="152"/>
      <c r="I89" s="152"/>
      <c r="J89" s="152"/>
      <c r="K89" s="152" t="s">
        <v>408</v>
      </c>
      <c r="L89" s="152"/>
      <c r="M89" s="152"/>
      <c r="N89" s="152"/>
      <c r="O89" s="152"/>
      <c r="P89" s="152"/>
      <c r="Q89" s="152"/>
      <c r="R89" s="152" t="s">
        <v>423</v>
      </c>
      <c r="S89" s="152"/>
      <c r="T89" s="152"/>
      <c r="U89" s="386">
        <v>25000</v>
      </c>
      <c r="V89" s="152"/>
    </row>
    <row r="90" spans="2:64" ht="15" customHeight="1">
      <c r="B90" s="152" t="s">
        <v>218</v>
      </c>
      <c r="C90" s="152"/>
      <c r="D90" s="152"/>
      <c r="E90" s="152"/>
      <c r="F90" s="152"/>
      <c r="G90" s="152"/>
      <c r="H90" s="386">
        <v>10</v>
      </c>
      <c r="I90" s="152"/>
      <c r="J90" s="152"/>
      <c r="K90" s="152" t="s">
        <v>91</v>
      </c>
      <c r="L90" s="152"/>
      <c r="M90" s="152"/>
      <c r="N90" s="152"/>
      <c r="O90" s="387" t="s">
        <v>30</v>
      </c>
      <c r="P90" s="152"/>
      <c r="Q90" s="152"/>
      <c r="R90" s="152" t="s">
        <v>203</v>
      </c>
      <c r="S90" s="152"/>
      <c r="T90" s="152"/>
      <c r="U90" s="386">
        <v>1</v>
      </c>
      <c r="V90" s="152"/>
      <c r="BC90" s="391"/>
      <c r="BD90" s="391"/>
      <c r="BE90" s="391"/>
      <c r="BF90" s="391"/>
      <c r="BG90" s="391"/>
      <c r="BH90" s="391"/>
      <c r="BI90" s="391"/>
      <c r="BJ90" s="391"/>
      <c r="BK90" s="391"/>
      <c r="BL90" s="391"/>
    </row>
    <row r="91" spans="2:64" ht="15" customHeight="1">
      <c r="B91" s="152" t="s">
        <v>196</v>
      </c>
      <c r="C91" s="152"/>
      <c r="D91" s="152"/>
      <c r="E91" s="152"/>
      <c r="F91" s="152"/>
      <c r="G91" s="152"/>
      <c r="H91" s="386">
        <v>240</v>
      </c>
      <c r="I91" s="152"/>
      <c r="J91" s="152"/>
      <c r="K91" s="153" t="s">
        <v>178</v>
      </c>
      <c r="L91" s="152"/>
      <c r="M91" s="152"/>
      <c r="N91" s="152"/>
      <c r="O91" s="152">
        <f>HLOOKUP(O90,'Propiedades_bases cálculo'!C9:AD24,10,FALSE)</f>
        <v>430</v>
      </c>
      <c r="P91" s="152"/>
      <c r="Q91" s="152"/>
      <c r="R91" s="153" t="s">
        <v>204</v>
      </c>
      <c r="S91" s="152"/>
      <c r="T91" s="152"/>
      <c r="U91" s="387" t="s">
        <v>70</v>
      </c>
      <c r="V91" s="152"/>
      <c r="BC91" s="391"/>
      <c r="BD91" s="391"/>
      <c r="BE91" s="391" t="s">
        <v>391</v>
      </c>
      <c r="BF91" s="391"/>
      <c r="BG91" s="391"/>
      <c r="BH91" s="391"/>
      <c r="BI91" s="391" t="s">
        <v>393</v>
      </c>
      <c r="BJ91" s="391"/>
      <c r="BK91" s="391"/>
      <c r="BL91" s="391"/>
    </row>
    <row r="92" spans="2:64" ht="15" customHeight="1">
      <c r="B92" s="152"/>
      <c r="C92" s="152"/>
      <c r="D92" s="152"/>
      <c r="E92" s="152"/>
      <c r="F92" s="152"/>
      <c r="G92" s="152"/>
      <c r="H92" s="152"/>
      <c r="I92" s="152"/>
      <c r="J92" s="152"/>
      <c r="K92" s="153" t="s">
        <v>311</v>
      </c>
      <c r="L92" s="152"/>
      <c r="M92" s="152"/>
      <c r="N92" s="152"/>
      <c r="O92" s="386">
        <v>25</v>
      </c>
      <c r="P92" s="152"/>
      <c r="Q92" s="152"/>
      <c r="R92" s="155" t="s">
        <v>182</v>
      </c>
      <c r="S92" s="152"/>
      <c r="T92" s="152"/>
      <c r="U92" s="152">
        <f>INDEX('Propiedades_bases cálculo'!B29:G32,MATCH('UNIONES ACERO-MADERA'!U90,'Propiedades_bases cálculo'!B29:B32,0),MATCH('UNIONES ACERO-MADERA'!U91,'Propiedades_bases cálculo'!B29:G29,0))</f>
        <v>1.1</v>
      </c>
      <c r="V92" s="152"/>
      <c r="BC92" s="391"/>
      <c r="BD92" s="391"/>
      <c r="BE92" s="391" t="s">
        <v>369</v>
      </c>
      <c r="BF92" s="391"/>
      <c r="BG92" s="391"/>
      <c r="BH92" s="391"/>
      <c r="BI92" s="391"/>
      <c r="BJ92" s="391" t="s">
        <v>369</v>
      </c>
      <c r="BK92" s="391"/>
      <c r="BL92" s="391"/>
    </row>
    <row r="93" spans="2:64" ht="15" customHeight="1">
      <c r="B93" s="152" t="s">
        <v>193</v>
      </c>
      <c r="C93" s="152"/>
      <c r="D93" s="152"/>
      <c r="E93" s="152"/>
      <c r="F93" s="152"/>
      <c r="G93" s="152"/>
      <c r="H93" s="152"/>
      <c r="I93" s="152"/>
      <c r="J93" s="152"/>
      <c r="K93" s="153" t="s">
        <v>200</v>
      </c>
      <c r="L93" s="152"/>
      <c r="M93" s="152"/>
      <c r="N93" s="152"/>
      <c r="O93" s="386">
        <v>45</v>
      </c>
      <c r="P93" s="152"/>
      <c r="Q93" s="152"/>
      <c r="R93" s="158" t="s">
        <v>342</v>
      </c>
      <c r="S93" s="152"/>
      <c r="T93" s="152"/>
      <c r="U93" s="152">
        <v>1.3</v>
      </c>
      <c r="V93" s="152"/>
      <c r="AA93" s="169" t="s">
        <v>415</v>
      </c>
      <c r="BC93" s="391"/>
      <c r="BD93" s="391" t="s">
        <v>363</v>
      </c>
      <c r="BE93" s="391">
        <f>(4+ABS(COS(RADIANS(O93))))*H90</f>
        <v>47.071067811865476</v>
      </c>
      <c r="BF93" s="391"/>
      <c r="BG93" s="391"/>
      <c r="BH93" s="391"/>
      <c r="BI93" s="391" t="s">
        <v>363</v>
      </c>
      <c r="BJ93" s="391">
        <f>(3+(2*ABS(COS(RADIANS(O93)))))*H90</f>
        <v>44.14213562373095</v>
      </c>
      <c r="BK93" s="391"/>
      <c r="BL93" s="391"/>
    </row>
    <row r="94" spans="2:64" ht="15" customHeight="1">
      <c r="B94" s="152" t="s">
        <v>194</v>
      </c>
      <c r="C94" s="152"/>
      <c r="D94" s="152"/>
      <c r="E94" s="152"/>
      <c r="F94" s="152">
        <f>0.3*H91*(H90^2.6)</f>
        <v>28663.71627985183</v>
      </c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BC94" s="391"/>
      <c r="BD94" s="391" t="s">
        <v>364</v>
      </c>
      <c r="BE94" s="391">
        <f>4*H90</f>
        <v>40</v>
      </c>
      <c r="BF94" s="391"/>
      <c r="BG94" s="391"/>
      <c r="BH94" s="391"/>
      <c r="BI94" s="391" t="s">
        <v>364</v>
      </c>
      <c r="BJ94" s="391">
        <f>3*H90</f>
        <v>30</v>
      </c>
      <c r="BK94" s="391"/>
      <c r="BL94" s="391"/>
    </row>
    <row r="95" spans="2:64" ht="15" customHeight="1">
      <c r="B95" s="152"/>
      <c r="C95" s="152"/>
      <c r="D95" s="152"/>
      <c r="E95" s="152"/>
      <c r="F95" s="152"/>
      <c r="G95" s="152"/>
      <c r="H95" s="152"/>
      <c r="I95" s="152"/>
      <c r="J95" s="152"/>
      <c r="K95" s="153" t="s">
        <v>406</v>
      </c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BC95" s="391"/>
      <c r="BD95" s="391" t="s">
        <v>365</v>
      </c>
      <c r="BE95" s="391">
        <f>MAX(7*H90,80)</f>
        <v>80</v>
      </c>
      <c r="BF95" s="391"/>
      <c r="BG95" s="391"/>
      <c r="BH95" s="391"/>
      <c r="BI95" s="391" t="s">
        <v>365</v>
      </c>
      <c r="BJ95" s="391">
        <f>MAX(7*H90,80)</f>
        <v>80</v>
      </c>
      <c r="BK95" s="391"/>
      <c r="BL95" s="391"/>
    </row>
    <row r="96" spans="2:64" ht="15" customHeight="1">
      <c r="B96" s="152" t="s">
        <v>176</v>
      </c>
      <c r="C96" s="152"/>
      <c r="D96" s="152"/>
      <c r="E96" s="152"/>
      <c r="F96" s="152"/>
      <c r="G96" s="152"/>
      <c r="H96" s="152"/>
      <c r="I96" s="152"/>
      <c r="J96" s="152"/>
      <c r="K96" s="166" t="s">
        <v>333</v>
      </c>
      <c r="L96" s="152"/>
      <c r="M96" s="152"/>
      <c r="N96" s="152"/>
      <c r="O96" s="386">
        <v>4</v>
      </c>
      <c r="P96" s="152"/>
      <c r="Q96" s="152"/>
      <c r="R96" s="152"/>
      <c r="S96" s="152"/>
      <c r="T96" s="152"/>
      <c r="U96" s="152"/>
      <c r="V96" s="152"/>
      <c r="BC96" s="391"/>
      <c r="BD96" s="391" t="s">
        <v>366</v>
      </c>
      <c r="BE96" s="391">
        <f>(1+6*(SIN(RADIANS(O93))))*H90</f>
        <v>52.426406871192846</v>
      </c>
      <c r="BF96" s="391"/>
      <c r="BG96" s="391"/>
      <c r="BH96" s="391"/>
      <c r="BI96" s="391" t="s">
        <v>366</v>
      </c>
      <c r="BJ96" s="391">
        <f>MAX(BJ95*ABS(SIN(RADIANS(O93)))*H90,3*H90)</f>
        <v>565.6854249492379</v>
      </c>
      <c r="BK96" s="391"/>
      <c r="BL96" s="391"/>
    </row>
    <row r="97" spans="2:64" ht="15" customHeight="1">
      <c r="B97" s="155" t="s">
        <v>334</v>
      </c>
      <c r="C97" s="152"/>
      <c r="D97" s="152">
        <f>D98/((C99*(SIN(RADIANS(O93)))^2)+(COS(RADIANS(O93)))^2)</f>
        <v>25.3872</v>
      </c>
      <c r="E97" s="152"/>
      <c r="F97" s="152"/>
      <c r="G97" s="152"/>
      <c r="H97" s="152"/>
      <c r="I97" s="152"/>
      <c r="J97" s="152"/>
      <c r="K97" s="152" t="s">
        <v>352</v>
      </c>
      <c r="L97" s="152"/>
      <c r="M97" s="152"/>
      <c r="N97" s="152"/>
      <c r="O97" s="387" t="s">
        <v>315</v>
      </c>
      <c r="P97" s="152"/>
      <c r="Q97" s="152"/>
      <c r="R97" s="152"/>
      <c r="S97" s="152"/>
      <c r="T97" s="152"/>
      <c r="U97" s="152"/>
      <c r="V97" s="152"/>
      <c r="BC97" s="391"/>
      <c r="BD97" s="391"/>
      <c r="BE97" s="391">
        <f>4*H90</f>
        <v>40</v>
      </c>
      <c r="BF97" s="391"/>
      <c r="BG97" s="391"/>
      <c r="BH97" s="391"/>
      <c r="BI97" s="391"/>
      <c r="BJ97" s="391">
        <f>3*H90</f>
        <v>30</v>
      </c>
      <c r="BK97" s="391"/>
      <c r="BL97" s="391"/>
    </row>
    <row r="98" spans="2:64" ht="15" customHeight="1">
      <c r="B98" s="155" t="s">
        <v>335</v>
      </c>
      <c r="C98" s="152"/>
      <c r="D98" s="152">
        <f>0.082*(1-(0.01*H90))*O91</f>
        <v>31.734</v>
      </c>
      <c r="E98" s="152"/>
      <c r="F98" s="152"/>
      <c r="G98" s="152"/>
      <c r="H98" s="152"/>
      <c r="I98" s="152"/>
      <c r="J98" s="152"/>
      <c r="K98" s="152" t="s">
        <v>312</v>
      </c>
      <c r="L98" s="152"/>
      <c r="M98" s="152"/>
      <c r="N98" s="152"/>
      <c r="O98" s="152">
        <f>VLOOKUP(O97,AV4:AW6,2)</f>
        <v>355</v>
      </c>
      <c r="P98" s="152"/>
      <c r="Q98" s="152"/>
      <c r="R98" s="152"/>
      <c r="S98" s="152"/>
      <c r="T98" s="152"/>
      <c r="U98" s="152"/>
      <c r="V98" s="152"/>
      <c r="BC98" s="391"/>
      <c r="BD98" s="391"/>
      <c r="BE98" s="391">
        <f>(1+6*(SIN(RADIANS(O93))))*H90</f>
        <v>52.426406871192846</v>
      </c>
      <c r="BF98" s="391"/>
      <c r="BG98" s="391"/>
      <c r="BH98" s="391"/>
      <c r="BI98" s="391"/>
      <c r="BJ98" s="391">
        <f>MAX(BJ95*ABS(SIN(RADIANS(O93)))*H90,3*H90)</f>
        <v>565.6854249492379</v>
      </c>
      <c r="BK98" s="391"/>
      <c r="BL98" s="391"/>
    </row>
    <row r="99" spans="2:64" ht="15" customHeight="1">
      <c r="B99" s="160" t="s">
        <v>209</v>
      </c>
      <c r="C99" s="152">
        <f>IF(AND(O91&gt;=290,O91&lt;=460),1.35+(0.015*H90),0.9+(0.015*H90))</f>
        <v>1.5</v>
      </c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BC99" s="391"/>
      <c r="BD99" s="391" t="s">
        <v>367</v>
      </c>
      <c r="BE99" s="391">
        <f>MAX((2+(2*SIN(RADIANS(O93))))*H90,3*H90)</f>
        <v>34.14213562373095</v>
      </c>
      <c r="BF99" s="391"/>
      <c r="BG99" s="391"/>
      <c r="BH99" s="391"/>
      <c r="BI99" s="391" t="s">
        <v>367</v>
      </c>
      <c r="BJ99" s="391">
        <f>MAX((2+(2*SIN(RADIANS(O93))))*H90,3*H90)</f>
        <v>34.14213562373095</v>
      </c>
      <c r="BK99" s="391"/>
      <c r="BL99" s="391"/>
    </row>
    <row r="100" spans="2:64" ht="15" customHeight="1"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BC100" s="391"/>
      <c r="BD100" s="391" t="s">
        <v>368</v>
      </c>
      <c r="BE100" s="391">
        <f>3*H90</f>
        <v>30</v>
      </c>
      <c r="BF100" s="391"/>
      <c r="BG100" s="391"/>
      <c r="BH100" s="391"/>
      <c r="BI100" s="391" t="s">
        <v>368</v>
      </c>
      <c r="BJ100" s="391">
        <f>3*H90</f>
        <v>30</v>
      </c>
      <c r="BK100" s="391"/>
      <c r="BL100" s="391"/>
    </row>
    <row r="101" spans="2:64" ht="15" customHeight="1">
      <c r="B101" s="152" t="s">
        <v>331</v>
      </c>
      <c r="C101" s="152"/>
      <c r="D101" s="152"/>
      <c r="E101" s="152"/>
      <c r="F101" s="152"/>
      <c r="G101" s="152">
        <f>0.53*O98*H90*O96</f>
        <v>7526</v>
      </c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BC101" s="391"/>
      <c r="BD101" s="391"/>
      <c r="BE101" s="391"/>
      <c r="BF101" s="391"/>
      <c r="BG101" s="391"/>
      <c r="BH101" s="391"/>
      <c r="BI101" s="391"/>
      <c r="BJ101" s="391"/>
      <c r="BK101" s="391"/>
      <c r="BL101" s="391"/>
    </row>
    <row r="102" spans="24:64" ht="15" customHeight="1">
      <c r="X102" t="s">
        <v>283</v>
      </c>
      <c r="AA102" t="s">
        <v>284</v>
      </c>
      <c r="AB102" s="97"/>
      <c r="AC102" s="97"/>
      <c r="AD102" t="s">
        <v>285</v>
      </c>
      <c r="AE102" s="97"/>
      <c r="AF102" s="97"/>
      <c r="AG102" t="s">
        <v>286</v>
      </c>
      <c r="BC102" s="391"/>
      <c r="BD102" s="391"/>
      <c r="BE102" s="391"/>
      <c r="BF102" s="391"/>
      <c r="BG102" s="391"/>
      <c r="BH102" s="391"/>
      <c r="BI102" s="391"/>
      <c r="BJ102" s="391"/>
      <c r="BK102" s="391"/>
      <c r="BL102" s="391"/>
    </row>
    <row r="103" spans="2:27" ht="15" customHeight="1">
      <c r="B103" s="131" t="s">
        <v>216</v>
      </c>
      <c r="AA103" s="170" t="s">
        <v>416</v>
      </c>
    </row>
    <row r="104" ht="15" customHeight="1">
      <c r="B104" s="25" t="s">
        <v>323</v>
      </c>
    </row>
    <row r="105" spans="24:33" ht="15" customHeight="1">
      <c r="X105" s="175" t="s">
        <v>392</v>
      </c>
      <c r="AG105" s="1" t="s">
        <v>414</v>
      </c>
    </row>
    <row r="106" spans="2:35" ht="15" customHeight="1">
      <c r="B106" t="s">
        <v>183</v>
      </c>
      <c r="C106" s="2" t="s">
        <v>326</v>
      </c>
      <c r="D106" s="130">
        <f>D97*O92*H90</f>
        <v>6346.799999999999</v>
      </c>
      <c r="Y106" s="178" t="s">
        <v>385</v>
      </c>
      <c r="Z106" s="178" t="s">
        <v>386</v>
      </c>
      <c r="AA106" s="178" t="s">
        <v>387</v>
      </c>
      <c r="AB106" s="178" t="s">
        <v>388</v>
      </c>
      <c r="AC106" s="178" t="s">
        <v>389</v>
      </c>
      <c r="AD106" s="178" t="s">
        <v>390</v>
      </c>
      <c r="AG106" s="185" t="s">
        <v>328</v>
      </c>
      <c r="AH106" s="129" t="s">
        <v>413</v>
      </c>
      <c r="AI106" s="129"/>
    </row>
    <row r="107" spans="2:35" ht="15" customHeight="1">
      <c r="B107" t="s">
        <v>184</v>
      </c>
      <c r="C107" s="2" t="s">
        <v>326</v>
      </c>
      <c r="D107" s="130">
        <f>D97*O92*H90*(((2+(4*F94/(D97*H90*O92*O92)))^0.5)-1)</f>
        <v>4125.611393637769</v>
      </c>
      <c r="X107" s="155" t="s">
        <v>369</v>
      </c>
      <c r="Y107" s="171">
        <f>BE93</f>
        <v>47.071067811865476</v>
      </c>
      <c r="Z107" s="171">
        <f>BE94</f>
        <v>40</v>
      </c>
      <c r="AA107" s="171">
        <f>BE95</f>
        <v>80</v>
      </c>
      <c r="AB107" s="171">
        <f>IF(150&lt;=O93&lt;210,BE97,BE96)</f>
        <v>52.426406871192846</v>
      </c>
      <c r="AC107" s="171">
        <f>BE99</f>
        <v>34.14213562373095</v>
      </c>
      <c r="AD107" s="171">
        <f>BE100</f>
        <v>30</v>
      </c>
      <c r="AE107" s="160" t="s">
        <v>369</v>
      </c>
      <c r="AG107" s="171">
        <f>H90+1</f>
        <v>11</v>
      </c>
      <c r="AH107" s="152">
        <f>H90</f>
        <v>10</v>
      </c>
      <c r="AI107" t="s">
        <v>412</v>
      </c>
    </row>
    <row r="108" spans="2:4" ht="15" customHeight="1">
      <c r="B108" t="s">
        <v>185</v>
      </c>
      <c r="C108" s="2" t="s">
        <v>326</v>
      </c>
      <c r="D108" s="130">
        <f>2.3*((F94*D97*H90)^0.5)</f>
        <v>6204.424247343044</v>
      </c>
    </row>
    <row r="109" ht="15" customHeight="1">
      <c r="X109" s="175" t="s">
        <v>332</v>
      </c>
    </row>
    <row r="110" spans="3:33" ht="15" customHeight="1">
      <c r="C110" s="2" t="s">
        <v>326</v>
      </c>
      <c r="D110">
        <f>MIN(D106:D108)</f>
        <v>4125.611393637769</v>
      </c>
      <c r="Y110" s="178" t="s">
        <v>385</v>
      </c>
      <c r="Z110" s="178" t="s">
        <v>386</v>
      </c>
      <c r="AA110" s="178" t="s">
        <v>387</v>
      </c>
      <c r="AB110" s="178" t="s">
        <v>388</v>
      </c>
      <c r="AC110" s="178" t="s">
        <v>389</v>
      </c>
      <c r="AD110" s="178" t="s">
        <v>390</v>
      </c>
      <c r="AG110" s="1" t="s">
        <v>414</v>
      </c>
    </row>
    <row r="111" spans="3:34" ht="15" customHeight="1">
      <c r="C111" s="2" t="s">
        <v>327</v>
      </c>
      <c r="D111">
        <f>D110*U92/U93</f>
        <v>3490.9019484627274</v>
      </c>
      <c r="X111" s="155" t="s">
        <v>369</v>
      </c>
      <c r="Y111" s="171">
        <f>BJ93</f>
        <v>44.14213562373095</v>
      </c>
      <c r="Z111" s="171">
        <f>BJ94</f>
        <v>30</v>
      </c>
      <c r="AA111" s="171">
        <f>BJ95</f>
        <v>80</v>
      </c>
      <c r="AB111" s="171">
        <f>IF(150&lt;=O93&lt;210,BJ97,BJ96)</f>
        <v>565.6854249492379</v>
      </c>
      <c r="AC111" s="171">
        <f>BJ99</f>
        <v>34.14213562373095</v>
      </c>
      <c r="AD111" s="171">
        <f>BJ100</f>
        <v>30</v>
      </c>
      <c r="AE111" s="160" t="s">
        <v>369</v>
      </c>
      <c r="AG111" s="180">
        <f>IF(O91&lt;=460,0.75*H90,0.9*H90)</f>
        <v>7.5</v>
      </c>
      <c r="AH111" t="s">
        <v>412</v>
      </c>
    </row>
    <row r="112" spans="3:6" ht="15" customHeight="1">
      <c r="C112" s="1" t="s">
        <v>214</v>
      </c>
      <c r="F112">
        <f>2*D111</f>
        <v>6981.803896925455</v>
      </c>
    </row>
    <row r="113" spans="3:7" ht="15" customHeight="1">
      <c r="C113" s="2" t="s">
        <v>202</v>
      </c>
      <c r="F113" s="1">
        <f>U89/F112</f>
        <v>3.5807364929010874</v>
      </c>
      <c r="G113" s="1" t="str">
        <f>IF(MIN(D106:D108)&gt;G101,"FALLO PLACA ACERO"," ")</f>
        <v xml:space="preserve"> </v>
      </c>
    </row>
    <row r="116" ht="15" customHeight="1">
      <c r="B116" s="144" t="s">
        <v>348</v>
      </c>
    </row>
    <row r="118" spans="2:11" ht="15" customHeight="1">
      <c r="B118" s="133" t="s">
        <v>357</v>
      </c>
      <c r="K118" s="132" t="s">
        <v>177</v>
      </c>
    </row>
    <row r="119" spans="2:22" ht="15" customHeight="1"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</row>
    <row r="120" spans="2:65" ht="15" customHeight="1">
      <c r="B120" s="152" t="s">
        <v>318</v>
      </c>
      <c r="C120" s="152"/>
      <c r="D120" s="152"/>
      <c r="E120" s="380" t="s">
        <v>316</v>
      </c>
      <c r="F120" s="382"/>
      <c r="G120" s="152"/>
      <c r="H120" s="152"/>
      <c r="I120" s="152"/>
      <c r="J120" s="152"/>
      <c r="K120" s="152" t="s">
        <v>409</v>
      </c>
      <c r="L120" s="152"/>
      <c r="M120" s="152"/>
      <c r="N120" s="152"/>
      <c r="O120" s="152"/>
      <c r="P120" s="152"/>
      <c r="Q120" s="152"/>
      <c r="R120" s="155" t="s">
        <v>421</v>
      </c>
      <c r="S120" s="152"/>
      <c r="T120" s="152"/>
      <c r="U120" s="386">
        <v>35000</v>
      </c>
      <c r="V120" s="152"/>
      <c r="AV120" s="391"/>
      <c r="AW120" s="391"/>
      <c r="AX120" s="391"/>
      <c r="AY120" s="391"/>
      <c r="AZ120" s="391"/>
      <c r="BA120" s="391"/>
      <c r="BB120" s="391"/>
      <c r="BC120" s="391"/>
      <c r="BD120" s="391"/>
      <c r="BE120" s="391"/>
      <c r="BF120" s="391"/>
      <c r="BG120" s="391"/>
      <c r="BH120" s="391"/>
      <c r="BI120" s="391"/>
      <c r="BJ120" s="391"/>
      <c r="BK120" s="391"/>
      <c r="BL120" s="391"/>
      <c r="BM120" s="391"/>
    </row>
    <row r="121" spans="2:65" ht="15" customHeight="1">
      <c r="B121" s="163" t="s">
        <v>324</v>
      </c>
      <c r="C121" s="152"/>
      <c r="D121" s="152"/>
      <c r="E121" s="386">
        <v>8</v>
      </c>
      <c r="F121" s="152"/>
      <c r="G121" s="152"/>
      <c r="H121" s="152"/>
      <c r="I121" s="152"/>
      <c r="J121" s="152"/>
      <c r="K121" s="152" t="s">
        <v>91</v>
      </c>
      <c r="L121" s="152"/>
      <c r="M121" s="152"/>
      <c r="N121" s="152"/>
      <c r="O121" s="387" t="s">
        <v>21</v>
      </c>
      <c r="P121" s="152"/>
      <c r="Q121" s="152"/>
      <c r="R121" s="152" t="s">
        <v>203</v>
      </c>
      <c r="S121" s="152"/>
      <c r="T121" s="152"/>
      <c r="U121" s="386">
        <v>2</v>
      </c>
      <c r="V121" s="152"/>
      <c r="AV121" s="391"/>
      <c r="AW121" s="391"/>
      <c r="AX121" s="391"/>
      <c r="AY121" s="391" t="s">
        <v>319</v>
      </c>
      <c r="AZ121" s="391" t="s">
        <v>353</v>
      </c>
      <c r="BA121" s="391" t="s">
        <v>369</v>
      </c>
      <c r="BB121" s="391"/>
      <c r="BC121" s="391" t="s">
        <v>410</v>
      </c>
      <c r="BD121" s="391"/>
      <c r="BE121" s="391"/>
      <c r="BF121" s="391" t="s">
        <v>381</v>
      </c>
      <c r="BG121" s="391"/>
      <c r="BH121" s="391"/>
      <c r="BI121" s="391"/>
      <c r="BJ121" s="391"/>
      <c r="BK121" s="391"/>
      <c r="BL121" s="391"/>
      <c r="BM121" s="391"/>
    </row>
    <row r="122" spans="2:65" ht="15" customHeight="1">
      <c r="B122" s="152"/>
      <c r="C122" s="152"/>
      <c r="D122" s="152"/>
      <c r="E122" s="152"/>
      <c r="F122" s="152"/>
      <c r="G122" s="152"/>
      <c r="H122" s="152"/>
      <c r="I122" s="152"/>
      <c r="J122" s="152"/>
      <c r="K122" s="153" t="s">
        <v>178</v>
      </c>
      <c r="L122" s="152"/>
      <c r="M122" s="152"/>
      <c r="N122" s="152"/>
      <c r="O122" s="152">
        <f>HLOOKUP(O121,'Propiedades_bases cálculo'!C9:AD24,10,FALSE)</f>
        <v>520</v>
      </c>
      <c r="P122" s="152"/>
      <c r="Q122" s="152"/>
      <c r="R122" s="153" t="s">
        <v>204</v>
      </c>
      <c r="S122" s="152"/>
      <c r="T122" s="152"/>
      <c r="U122" s="386" t="s">
        <v>70</v>
      </c>
      <c r="V122" s="152"/>
      <c r="AV122" s="391" t="s">
        <v>316</v>
      </c>
      <c r="AW122" s="391"/>
      <c r="AX122" s="391"/>
      <c r="AY122" s="391">
        <f>(G123/600)*180*E121^2.6</f>
        <v>40114.969956685396</v>
      </c>
      <c r="AZ122" s="391">
        <f>IF(OR(O122&gt;=500,E121&gt;6,O123&lt;MAX(7*E121,((13*E121)-30)*O122/400)),0.082*(1-(0.01*E121))*O122,0.082*O122*(E121^-0.3))</f>
        <v>39.22880000000001</v>
      </c>
      <c r="BA122" s="391" t="str">
        <f>IF(OR(O122&gt;=500,E121&gt;6,O123&lt;MAX(7*E121,((13*E121)-30)*O122/400)),"pretaladro","sin pretaladro")</f>
        <v>pretaladro</v>
      </c>
      <c r="BB122" s="391"/>
      <c r="BC122" s="391">
        <f>0.75*E121</f>
        <v>6</v>
      </c>
      <c r="BD122" s="391"/>
      <c r="BE122" s="391" t="s">
        <v>369</v>
      </c>
      <c r="BF122" s="391" t="s">
        <v>370</v>
      </c>
      <c r="BG122" s="391"/>
      <c r="BH122" s="391" t="s">
        <v>380</v>
      </c>
      <c r="BI122" s="391"/>
      <c r="BJ122" s="391"/>
      <c r="BK122" s="391" t="s">
        <v>382</v>
      </c>
      <c r="BL122" s="391"/>
      <c r="BM122" s="391"/>
    </row>
    <row r="123" spans="2:65" ht="15" customHeight="1">
      <c r="B123" s="152" t="s">
        <v>322</v>
      </c>
      <c r="C123" s="152"/>
      <c r="D123" s="152"/>
      <c r="E123" s="152"/>
      <c r="F123" s="152"/>
      <c r="G123" s="386">
        <v>600</v>
      </c>
      <c r="H123" s="152"/>
      <c r="I123" s="152"/>
      <c r="J123" s="152"/>
      <c r="K123" s="153" t="s">
        <v>349</v>
      </c>
      <c r="L123" s="152"/>
      <c r="M123" s="152"/>
      <c r="N123" s="152"/>
      <c r="O123" s="386">
        <v>300</v>
      </c>
      <c r="P123" s="152"/>
      <c r="Q123" s="152"/>
      <c r="R123" s="155" t="s">
        <v>182</v>
      </c>
      <c r="S123" s="152"/>
      <c r="T123" s="152"/>
      <c r="U123" s="152">
        <f>INDEX('Propiedades_bases cálculo'!B29:G32,MATCH('UNIONES ACERO-MADERA'!U121,'Propiedades_bases cálculo'!B29:B32,0),MATCH('UNIONES ACERO-MADERA'!U122,'Propiedades_bases cálculo'!B29:G29,0))</f>
        <v>1.1</v>
      </c>
      <c r="V123" s="152"/>
      <c r="AV123" s="391" t="s">
        <v>317</v>
      </c>
      <c r="AW123" s="391"/>
      <c r="AX123" s="391"/>
      <c r="AY123" s="391">
        <f>(G123/600)*270*E121^2.6</f>
        <v>60172.454935028094</v>
      </c>
      <c r="AZ123" s="391">
        <f>IF(OR(O122&gt;=500,E121&gt;6,O123&lt;MAX(7*E121,((13*E121)-30)*O122/400)),0.082*(1-(0.01*E121))*O122,0.082*O122*(E121^-0.3))</f>
        <v>39.22880000000001</v>
      </c>
      <c r="BA123" s="391" t="str">
        <f>IF(OR(O122&gt;=500,E121&gt;6,O123&lt;MAX(7*E121,((13*E121)-30)*O123/400)),"pretaladro","sin pretaladro")</f>
        <v>pretaladro</v>
      </c>
      <c r="BB123" s="391"/>
      <c r="BC123" s="391">
        <f>0.75*E121</f>
        <v>6</v>
      </c>
      <c r="BD123" s="391"/>
      <c r="BE123" s="391" t="s">
        <v>363</v>
      </c>
      <c r="BF123" s="391">
        <f>IF(E121&lt;5,(5+5*ABS(COS(RADIANS(O124))))*E121,(5+7*ABS(COS(RADIANS(O124))))*E121)</f>
        <v>96</v>
      </c>
      <c r="BG123" s="391"/>
      <c r="BH123" s="391">
        <f>(7+(8*ABS(COS(RADIANS(O124)))))*E121</f>
        <v>120</v>
      </c>
      <c r="BI123" s="391"/>
      <c r="BJ123" s="391"/>
      <c r="BK123" s="391">
        <f>(4+COS(RADIANS(O124)))*E121</f>
        <v>40</v>
      </c>
      <c r="BL123" s="391"/>
      <c r="BM123" s="391"/>
    </row>
    <row r="124" spans="2:65" ht="15" customHeight="1">
      <c r="B124" s="152"/>
      <c r="C124" s="152"/>
      <c r="D124" s="152"/>
      <c r="E124" s="152"/>
      <c r="F124" s="152"/>
      <c r="G124" s="152"/>
      <c r="H124" s="152"/>
      <c r="I124" s="152"/>
      <c r="J124" s="152"/>
      <c r="K124" s="153" t="s">
        <v>200</v>
      </c>
      <c r="L124" s="152"/>
      <c r="M124" s="152"/>
      <c r="N124" s="152"/>
      <c r="O124" s="388">
        <v>0</v>
      </c>
      <c r="P124" s="152"/>
      <c r="Q124" s="152"/>
      <c r="R124" s="158" t="s">
        <v>205</v>
      </c>
      <c r="S124" s="152"/>
      <c r="T124" s="152"/>
      <c r="U124" s="152">
        <v>1.3</v>
      </c>
      <c r="V124" s="152"/>
      <c r="AA124" s="169" t="s">
        <v>415</v>
      </c>
      <c r="AV124" s="391" t="s">
        <v>325</v>
      </c>
      <c r="AW124" s="391"/>
      <c r="AX124" s="391"/>
      <c r="AY124" s="391">
        <f>(G123/600)*180*E121^2.6</f>
        <v>40114.969956685396</v>
      </c>
      <c r="AZ124" s="391">
        <f>IF(OR(O122&lt;=460,E121&lt;6,),0.082*O122*E121^(-0.3),0.082*(1-(0.01*E121))*O122)</f>
        <v>39.22880000000001</v>
      </c>
      <c r="BA124" s="391" t="str">
        <f>IF(AND(O122&lt;=460,E121&lt;6),"sin pretaladro","pretaladro")</f>
        <v>pretaladro</v>
      </c>
      <c r="BB124" s="391"/>
      <c r="BC124" s="391">
        <f>E121</f>
        <v>8</v>
      </c>
      <c r="BD124" s="391"/>
      <c r="BE124" s="391" t="s">
        <v>364</v>
      </c>
      <c r="BF124" s="391">
        <f>5*E121</f>
        <v>40</v>
      </c>
      <c r="BG124" s="391"/>
      <c r="BH124" s="391">
        <f>7*E121</f>
        <v>56</v>
      </c>
      <c r="BI124" s="391"/>
      <c r="BJ124" s="391"/>
      <c r="BK124" s="391">
        <f>(3+ABS(SIN(RADIANS(O124))))*E121</f>
        <v>24</v>
      </c>
      <c r="BL124" s="391"/>
      <c r="BM124" s="391"/>
    </row>
    <row r="125" spans="2:65" ht="15" customHeight="1">
      <c r="B125" s="152" t="s">
        <v>174</v>
      </c>
      <c r="C125" s="152"/>
      <c r="D125" s="152"/>
      <c r="E125" s="152"/>
      <c r="F125" s="152"/>
      <c r="G125" s="152">
        <f>VLOOKUP(E120,AV121:AZ124,4)</f>
        <v>40114.969956685396</v>
      </c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AV125" s="391"/>
      <c r="AW125" s="391"/>
      <c r="AX125" s="391"/>
      <c r="AY125" s="391"/>
      <c r="AZ125" s="391"/>
      <c r="BA125" s="391"/>
      <c r="BB125" s="391"/>
      <c r="BC125" s="391"/>
      <c r="BD125" s="391"/>
      <c r="BE125" s="391" t="s">
        <v>365</v>
      </c>
      <c r="BF125" s="391">
        <f>(10+5*COS(RADIANS(O124)))*E121</f>
        <v>120</v>
      </c>
      <c r="BG125" s="391"/>
      <c r="BH125" s="391">
        <f>(15+(5*COS(RADIANS(O124))))*E121</f>
        <v>160</v>
      </c>
      <c r="BI125" s="391"/>
      <c r="BJ125" s="391"/>
      <c r="BK125" s="391">
        <f>(7+(5*COS(RADIANS(O124))))*E121</f>
        <v>96</v>
      </c>
      <c r="BL125" s="391"/>
      <c r="BM125" s="391"/>
    </row>
    <row r="126" spans="2:65" ht="15" customHeight="1">
      <c r="B126" s="152"/>
      <c r="C126" s="152"/>
      <c r="D126" s="152"/>
      <c r="E126" s="152"/>
      <c r="F126" s="152"/>
      <c r="G126" s="152"/>
      <c r="H126" s="152"/>
      <c r="I126" s="152"/>
      <c r="J126" s="152"/>
      <c r="K126" s="153" t="s">
        <v>406</v>
      </c>
      <c r="L126" s="152"/>
      <c r="M126" s="152"/>
      <c r="N126" s="152"/>
      <c r="O126" s="152"/>
      <c r="P126" s="155" t="s">
        <v>362</v>
      </c>
      <c r="Q126" s="152"/>
      <c r="R126" s="152"/>
      <c r="S126" s="152"/>
      <c r="T126" s="152"/>
      <c r="U126" s="152"/>
      <c r="V126" s="152"/>
      <c r="AV126" s="391"/>
      <c r="AW126" s="391"/>
      <c r="AX126" s="391"/>
      <c r="AY126" s="391"/>
      <c r="AZ126" s="391"/>
      <c r="BA126" s="391"/>
      <c r="BB126" s="391"/>
      <c r="BC126" s="391"/>
      <c r="BD126" s="391"/>
      <c r="BE126" s="391" t="s">
        <v>366</v>
      </c>
      <c r="BF126" s="391">
        <f>10*E121</f>
        <v>80</v>
      </c>
      <c r="BG126" s="391"/>
      <c r="BH126" s="391">
        <f>15*E121</f>
        <v>120</v>
      </c>
      <c r="BI126" s="391"/>
      <c r="BJ126" s="391"/>
      <c r="BK126" s="391">
        <f>7*E121</f>
        <v>56</v>
      </c>
      <c r="BL126" s="391"/>
      <c r="BM126" s="391"/>
    </row>
    <row r="127" spans="2:65" ht="15" customHeight="1">
      <c r="B127" s="152" t="s">
        <v>350</v>
      </c>
      <c r="C127" s="152"/>
      <c r="D127" s="152"/>
      <c r="E127" s="152"/>
      <c r="F127" s="152"/>
      <c r="G127" s="152">
        <f>VLOOKUP(E120,AV121:AZ124,5)</f>
        <v>39.22880000000001</v>
      </c>
      <c r="H127" s="152"/>
      <c r="I127" s="152"/>
      <c r="J127" s="152"/>
      <c r="K127" s="166" t="s">
        <v>351</v>
      </c>
      <c r="L127" s="152"/>
      <c r="M127" s="152"/>
      <c r="N127" s="152"/>
      <c r="O127" s="386">
        <v>2</v>
      </c>
      <c r="P127" s="155" t="str">
        <f>IF(O127&lt;=0.5*E121,"DELGADA",IF(O127&gt;=E121,"GRUESA",IF(AND(O127&gt;0.5*E121,O127&lt;E121),"INTERMEDIA")))</f>
        <v>DELGADA</v>
      </c>
      <c r="Q127" s="152"/>
      <c r="R127" s="152"/>
      <c r="S127" s="152"/>
      <c r="T127" s="152"/>
      <c r="U127" s="152"/>
      <c r="V127" s="152"/>
      <c r="AV127" s="391"/>
      <c r="AW127" s="391"/>
      <c r="AX127" s="391" t="s">
        <v>356</v>
      </c>
      <c r="AY127" s="391" t="s">
        <v>355</v>
      </c>
      <c r="AZ127" s="391" t="s">
        <v>184</v>
      </c>
      <c r="BA127" s="391" t="s">
        <v>354</v>
      </c>
      <c r="BB127" s="391"/>
      <c r="BC127" s="391"/>
      <c r="BD127" s="391"/>
      <c r="BE127" s="391" t="s">
        <v>367</v>
      </c>
      <c r="BF127" s="391">
        <f>IF(E121&lt;5,(5+2*SIN(RADIANS(O124)))*E121,(5+5*SIN(RADIANS(O124)))*E121)</f>
        <v>40</v>
      </c>
      <c r="BG127" s="391"/>
      <c r="BH127" s="391">
        <f>IF(E121&lt;5,(7+(2*SIN(RADIANS(O124))))*E121,(7+(5*SIN(RADIANS(O124))))*E121)</f>
        <v>56</v>
      </c>
      <c r="BI127" s="391"/>
      <c r="BJ127" s="391"/>
      <c r="BK127" s="391">
        <f>IF(E121&lt;5,(3+(2*SIN(RADIANS(O124))))*E121,(3+(4*SIN(RADIANS(O124))))*E121)</f>
        <v>24</v>
      </c>
      <c r="BL127" s="391"/>
      <c r="BM127" s="391"/>
    </row>
    <row r="128" spans="2:65" ht="15" customHeight="1">
      <c r="B128" s="152"/>
      <c r="C128" s="152"/>
      <c r="D128" s="152"/>
      <c r="E128" s="152"/>
      <c r="F128" s="152"/>
      <c r="G128" s="152"/>
      <c r="H128" s="152"/>
      <c r="I128" s="152"/>
      <c r="J128" s="152"/>
      <c r="K128" s="152" t="s">
        <v>352</v>
      </c>
      <c r="L128" s="152"/>
      <c r="M128" s="152"/>
      <c r="N128" s="152"/>
      <c r="O128" s="387" t="s">
        <v>315</v>
      </c>
      <c r="P128" s="152"/>
      <c r="Q128" s="152"/>
      <c r="R128" s="152"/>
      <c r="S128" s="152"/>
      <c r="T128" s="152"/>
      <c r="U128" s="152"/>
      <c r="V128" s="152"/>
      <c r="AV128" s="391" t="s">
        <v>344</v>
      </c>
      <c r="AW128" s="391"/>
      <c r="AX128" s="391">
        <f>0.5*E121</f>
        <v>4</v>
      </c>
      <c r="AY128" s="391">
        <f>0.5*G127*O123*E121</f>
        <v>47074.560000000005</v>
      </c>
      <c r="AZ128" s="391">
        <f>1.15*((2*G125*G127*E121)^0.5)</f>
        <v>5770.501775714406</v>
      </c>
      <c r="BA128" s="391">
        <f>MIN(AY128:AZ128)</f>
        <v>5770.501775714406</v>
      </c>
      <c r="BB128" s="391"/>
      <c r="BC128" s="391"/>
      <c r="BD128" s="391"/>
      <c r="BE128" s="391" t="s">
        <v>368</v>
      </c>
      <c r="BF128" s="391">
        <f>3*E121</f>
        <v>24</v>
      </c>
      <c r="BG128" s="391"/>
      <c r="BH128" s="391">
        <f>7*E121</f>
        <v>56</v>
      </c>
      <c r="BI128" s="391"/>
      <c r="BJ128" s="391"/>
      <c r="BK128" s="391">
        <f>3*E121</f>
        <v>24</v>
      </c>
      <c r="BL128" s="391"/>
      <c r="BM128" s="391"/>
    </row>
    <row r="129" spans="2:65" ht="15" customHeight="1">
      <c r="B129" s="152" t="s">
        <v>331</v>
      </c>
      <c r="C129" s="152"/>
      <c r="D129" s="152"/>
      <c r="E129" s="152"/>
      <c r="F129" s="152"/>
      <c r="G129" s="154">
        <f>0.53*O129*E121*O127</f>
        <v>3010.4</v>
      </c>
      <c r="H129" s="152"/>
      <c r="I129" s="152"/>
      <c r="J129" s="152"/>
      <c r="K129" s="152" t="s">
        <v>312</v>
      </c>
      <c r="L129" s="152"/>
      <c r="M129" s="152"/>
      <c r="N129" s="152"/>
      <c r="O129" s="152">
        <f>VLOOKUP(O128,AV4:AW6,2)</f>
        <v>355</v>
      </c>
      <c r="P129" s="152"/>
      <c r="Q129" s="152"/>
      <c r="R129" s="152"/>
      <c r="S129" s="152"/>
      <c r="T129" s="152"/>
      <c r="U129" s="152"/>
      <c r="V129" s="152"/>
      <c r="AV129" s="391" t="s">
        <v>345</v>
      </c>
      <c r="AW129" s="391"/>
      <c r="AX129" s="391">
        <f>E121</f>
        <v>8</v>
      </c>
      <c r="AY129" s="391">
        <f>0.5*G127*O123*E121</f>
        <v>47074.560000000005</v>
      </c>
      <c r="AZ129" s="391">
        <f>2.3*((G125*G127*E121)^0.5)</f>
        <v>8160.721872913341</v>
      </c>
      <c r="BA129" s="391">
        <f>MIN(AY129:AZ129)</f>
        <v>8160.721872913341</v>
      </c>
      <c r="BB129" s="391"/>
      <c r="BC129" s="391"/>
      <c r="BD129" s="391"/>
      <c r="BE129" s="391"/>
      <c r="BF129" s="391"/>
      <c r="BG129" s="391"/>
      <c r="BH129" s="391"/>
      <c r="BI129" s="391"/>
      <c r="BJ129" s="391"/>
      <c r="BK129" s="391"/>
      <c r="BL129" s="391"/>
      <c r="BM129" s="391"/>
    </row>
    <row r="130" spans="48:65" ht="15" customHeight="1">
      <c r="AV130" s="391" t="s">
        <v>346</v>
      </c>
      <c r="AW130" s="391"/>
      <c r="AX130" s="391" t="str">
        <f>IF(AND(O127&gt;0.5*E121,O127&lt;E121),O127," ")</f>
        <v xml:space="preserve"> </v>
      </c>
      <c r="AY130" s="391"/>
      <c r="AZ130" s="391"/>
      <c r="BA130" s="391">
        <f>FORECAST(O127,BA128:BA129,AX128:AX129)</f>
        <v>4575.3917271149385</v>
      </c>
      <c r="BB130" s="391"/>
      <c r="BC130" s="391"/>
      <c r="BD130" s="391"/>
      <c r="BE130" s="391"/>
      <c r="BF130" s="391"/>
      <c r="BG130" s="391"/>
      <c r="BH130" s="391"/>
      <c r="BI130" s="391"/>
      <c r="BJ130" s="391"/>
      <c r="BK130" s="391"/>
      <c r="BL130" s="391"/>
      <c r="BM130" s="391"/>
    </row>
    <row r="131" spans="2:65" ht="15" customHeight="1">
      <c r="B131" s="131" t="s">
        <v>216</v>
      </c>
      <c r="AV131" s="391"/>
      <c r="AW131" s="391"/>
      <c r="AX131" s="391"/>
      <c r="AY131" s="391"/>
      <c r="AZ131" s="391"/>
      <c r="BA131" s="391"/>
      <c r="BB131" s="391"/>
      <c r="BC131" s="391"/>
      <c r="BD131" s="391"/>
      <c r="BE131" s="391"/>
      <c r="BF131" s="391"/>
      <c r="BG131" s="391"/>
      <c r="BH131" s="391"/>
      <c r="BI131" s="391"/>
      <c r="BJ131" s="391"/>
      <c r="BK131" s="391"/>
      <c r="BL131" s="391"/>
      <c r="BM131" s="391"/>
    </row>
    <row r="132" spans="2:65" ht="15" customHeight="1">
      <c r="B132" s="25" t="s">
        <v>417</v>
      </c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1"/>
      <c r="BG132" s="391"/>
      <c r="BH132" s="391"/>
      <c r="BI132" s="391"/>
      <c r="BJ132" s="391"/>
      <c r="BK132" s="391"/>
      <c r="BL132" s="391"/>
      <c r="BM132" s="391"/>
    </row>
    <row r="133" spans="2:65" ht="15" customHeight="1">
      <c r="B133" s="25"/>
      <c r="X133" t="s">
        <v>283</v>
      </c>
      <c r="AA133" t="s">
        <v>284</v>
      </c>
      <c r="AB133" s="97"/>
      <c r="AC133" s="97"/>
      <c r="AD133" t="s">
        <v>285</v>
      </c>
      <c r="AE133" s="97"/>
      <c r="AF133" s="97"/>
      <c r="AG133" t="s">
        <v>286</v>
      </c>
      <c r="AV133" s="391"/>
      <c r="AW133" s="391"/>
      <c r="AX133" s="391"/>
      <c r="AY133" s="391"/>
      <c r="AZ133" s="391"/>
      <c r="BA133" s="391"/>
      <c r="BB133" s="391"/>
      <c r="BC133" s="391"/>
      <c r="BD133" s="391"/>
      <c r="BE133" s="391"/>
      <c r="BF133" s="391"/>
      <c r="BG133" s="391"/>
      <c r="BH133" s="391"/>
      <c r="BI133" s="391"/>
      <c r="BJ133" s="391"/>
      <c r="BK133" s="391"/>
      <c r="BL133" s="391"/>
      <c r="BM133" s="391"/>
    </row>
    <row r="134" spans="2:65" ht="15" customHeight="1">
      <c r="B134" s="25" t="s">
        <v>183</v>
      </c>
      <c r="C134" s="2" t="s">
        <v>326</v>
      </c>
      <c r="D134" s="151">
        <f>IF(O127&lt;=0.5*E121,AY128,IF(O127&gt;=E121,AY129,"-"))</f>
        <v>47074.560000000005</v>
      </c>
      <c r="AA134" s="170" t="s">
        <v>416</v>
      </c>
      <c r="AV134" s="391"/>
      <c r="AW134" s="391"/>
      <c r="AX134" s="391"/>
      <c r="AY134" s="391"/>
      <c r="AZ134" s="391"/>
      <c r="BA134" s="391"/>
      <c r="BB134" s="391"/>
      <c r="BC134" s="391"/>
      <c r="BD134" s="391"/>
      <c r="BE134" s="391"/>
      <c r="BF134" s="391"/>
      <c r="BG134" s="391"/>
      <c r="BH134" s="391"/>
      <c r="BI134" s="391"/>
      <c r="BJ134" s="391"/>
      <c r="BK134" s="391"/>
      <c r="BL134" s="391"/>
      <c r="BM134" s="391"/>
    </row>
    <row r="135" spans="2:65" ht="15" customHeight="1">
      <c r="B135" s="25" t="s">
        <v>184</v>
      </c>
      <c r="C135" s="2" t="s">
        <v>326</v>
      </c>
      <c r="D135" s="151">
        <f>IF(O127&lt;=0.5*E121,AZ128,IF(O127&gt;=E121,AZ129,"-"))</f>
        <v>5770.501775714406</v>
      </c>
      <c r="J135" t="s">
        <v>419</v>
      </c>
      <c r="AV135" s="391"/>
      <c r="AW135" s="391"/>
      <c r="AX135" s="391"/>
      <c r="AY135" s="391"/>
      <c r="AZ135" s="391"/>
      <c r="BA135" s="391"/>
      <c r="BB135" s="391"/>
      <c r="BC135" s="391"/>
      <c r="BD135" s="391"/>
      <c r="BE135" s="391"/>
      <c r="BF135" s="391"/>
      <c r="BG135" s="391"/>
      <c r="BH135" s="391"/>
      <c r="BI135" s="391"/>
      <c r="BJ135" s="391"/>
      <c r="BK135" s="391"/>
      <c r="BL135" s="391"/>
      <c r="BM135" s="391"/>
    </row>
    <row r="136" spans="3:65" ht="15" customHeight="1">
      <c r="C136" s="2"/>
      <c r="Z136" s="178" t="s">
        <v>385</v>
      </c>
      <c r="AA136" s="178" t="s">
        <v>386</v>
      </c>
      <c r="AB136" s="178" t="s">
        <v>387</v>
      </c>
      <c r="AC136" s="178" t="s">
        <v>388</v>
      </c>
      <c r="AD136" s="178" t="s">
        <v>389</v>
      </c>
      <c r="AE136" s="178" t="s">
        <v>390</v>
      </c>
      <c r="AJ136" s="1" t="s">
        <v>411</v>
      </c>
      <c r="AV136" s="391"/>
      <c r="AW136" s="391"/>
      <c r="AX136" s="391"/>
      <c r="AY136" s="391"/>
      <c r="AZ136" s="391"/>
      <c r="BA136" s="391"/>
      <c r="BB136" s="391"/>
      <c r="BC136" s="391"/>
      <c r="BD136" s="391"/>
      <c r="BE136" s="391"/>
      <c r="BF136" s="391"/>
      <c r="BG136" s="391"/>
      <c r="BH136" s="391"/>
      <c r="BI136" s="391"/>
      <c r="BJ136" s="391"/>
      <c r="BK136" s="391"/>
      <c r="BL136" s="391"/>
      <c r="BM136" s="391"/>
    </row>
    <row r="137" spans="3:37" ht="15" customHeight="1">
      <c r="C137" s="2" t="s">
        <v>326</v>
      </c>
      <c r="D137" s="150">
        <f>IF(OR(O127&lt;=0.5*E121,O127&gt;=E121),MIN(D134:D135),"-")</f>
        <v>5770.501775714406</v>
      </c>
      <c r="J137" s="2" t="s">
        <v>326</v>
      </c>
      <c r="K137" s="151" t="str">
        <f>IF(AND(O127&gt;0.5*E121,O127&lt;E121),BA130,"-")</f>
        <v>-</v>
      </c>
      <c r="Y137" s="155" t="s">
        <v>383</v>
      </c>
      <c r="Z137" s="171">
        <f>IF(AG137="sin pretaladro",IF(O122&lt;=420,0.7*BF123,0.7*BH123),0.7*BK123)</f>
        <v>28</v>
      </c>
      <c r="AA137" s="171">
        <f>IF(AG137="sin pretaladro",IF(O122&lt;=420,0.7*BF124,0.7*BH124),0.7*BK124)</f>
        <v>16.799999999999997</v>
      </c>
      <c r="AB137" s="171">
        <f>IF(AG137="sin pretaladro",IF(O122&lt;=420,BF125,BH125),BK125)</f>
        <v>96</v>
      </c>
      <c r="AC137" s="171">
        <f>IF(AG137="sin pretaladro",IF(O122&lt;=420,BF126,BH126),BK126)</f>
        <v>56</v>
      </c>
      <c r="AD137" s="171">
        <f>IF(AG137="sin pretaladro",IF(O122&lt;=420,BF127,BH127),BK127)</f>
        <v>24</v>
      </c>
      <c r="AE137" s="171">
        <f>IF(AG137="sin pretaladro",IF(O122&lt;=420,BF128,BH128),BK128)</f>
        <v>24</v>
      </c>
      <c r="AF137" s="160" t="s">
        <v>383</v>
      </c>
      <c r="AG137" t="str">
        <f>VLOOKUP(E120,AV122:BA124,6,FALSE)</f>
        <v>pretaladro</v>
      </c>
      <c r="AJ137" s="180">
        <f>IF(AG137="pretaladro",VLOOKUP(E120,AV122:BC124,8,FALSE),"-")</f>
        <v>6</v>
      </c>
      <c r="AK137" t="s">
        <v>412</v>
      </c>
    </row>
    <row r="138" spans="3:11" ht="15" customHeight="1">
      <c r="C138" s="2" t="s">
        <v>327</v>
      </c>
      <c r="D138" s="150">
        <f>IF(OR(O127&lt;=0.5*E121,O127&gt;=E121),D137*U123/U124,"-")</f>
        <v>4882.732271758344</v>
      </c>
      <c r="J138" s="2" t="s">
        <v>327</v>
      </c>
      <c r="K138" s="151" t="str">
        <f>IF(AND(O127&gt;0.5*E121,O127&lt;E121),K137*U123/U124,"-")</f>
        <v>-</v>
      </c>
    </row>
    <row r="139" spans="3:14" ht="15" customHeight="1">
      <c r="C139" s="1" t="s">
        <v>214</v>
      </c>
      <c r="D139" s="150"/>
      <c r="F139" s="150">
        <f>IF(OR(O127&lt;=0.5*E121,O127&gt;=E121),2*D138,"-")</f>
        <v>9765.464543516688</v>
      </c>
      <c r="J139" s="1" t="s">
        <v>214</v>
      </c>
      <c r="K139" s="130"/>
      <c r="N139" s="150" t="str">
        <f>IF(AND(O127&gt;0.5*E121,O127&lt;E121),2*K138,"-")</f>
        <v>-</v>
      </c>
    </row>
    <row r="140" spans="3:16" ht="15" customHeight="1">
      <c r="C140" s="2" t="s">
        <v>202</v>
      </c>
      <c r="F140" s="182">
        <f>IF(OR(O127&lt;=0.5*E121,O127&gt;=E121),U120/F139,"-")</f>
        <v>3.584058888753692</v>
      </c>
      <c r="G140" s="1" t="str">
        <f>IF(MIN(D134:D135)&gt;G129,"FALLO PLACA ACERO"," ")</f>
        <v>FALLO PLACA ACERO</v>
      </c>
      <c r="J140" s="2" t="s">
        <v>202</v>
      </c>
      <c r="N140" s="182" t="str">
        <f>IF(AND(O127&gt;0.5*E121,O127&lt;E121),U120/N139,"-")</f>
        <v>-</v>
      </c>
      <c r="P140" s="1" t="str">
        <f>IF(AND(O127&gt;0.5*E121,O127&lt;E121,BA130&gt;G129),"FALLO PLACA ACERO"," ")</f>
        <v xml:space="preserve"> </v>
      </c>
    </row>
    <row r="143" spans="2:63" ht="15" customHeight="1">
      <c r="B143" s="133" t="s">
        <v>360</v>
      </c>
      <c r="K143" s="132" t="s">
        <v>177</v>
      </c>
      <c r="AV143" s="391"/>
      <c r="AW143" s="391"/>
      <c r="AX143" s="391"/>
      <c r="AY143" s="391"/>
      <c r="AZ143" s="391"/>
      <c r="BA143" s="391"/>
      <c r="BB143" s="391"/>
      <c r="BC143" s="391"/>
      <c r="BD143" s="391"/>
      <c r="BE143" s="391"/>
      <c r="BF143" s="391"/>
      <c r="BG143" s="391"/>
      <c r="BH143" s="391"/>
      <c r="BI143" s="391"/>
      <c r="BJ143" s="391"/>
      <c r="BK143" s="391"/>
    </row>
    <row r="144" spans="2:63" ht="15" customHeight="1"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AV144" s="391"/>
      <c r="AW144" s="391"/>
      <c r="AX144" s="391" t="s">
        <v>356</v>
      </c>
      <c r="AY144" s="391" t="s">
        <v>355</v>
      </c>
      <c r="AZ144" s="391" t="s">
        <v>184</v>
      </c>
      <c r="BA144" s="391" t="s">
        <v>354</v>
      </c>
      <c r="BB144" s="391"/>
      <c r="BC144" s="391"/>
      <c r="BD144" s="391"/>
      <c r="BE144" s="391" t="s">
        <v>391</v>
      </c>
      <c r="BF144" s="391"/>
      <c r="BG144" s="391"/>
      <c r="BH144" s="391"/>
      <c r="BI144" s="391" t="s">
        <v>393</v>
      </c>
      <c r="BJ144" s="391"/>
      <c r="BK144" s="391"/>
    </row>
    <row r="145" spans="2:63" ht="15" customHeight="1">
      <c r="B145" s="152" t="s">
        <v>195</v>
      </c>
      <c r="C145" s="152"/>
      <c r="D145" s="152"/>
      <c r="E145" s="152"/>
      <c r="F145" s="152"/>
      <c r="G145" s="152"/>
      <c r="H145" s="152"/>
      <c r="I145" s="152"/>
      <c r="J145" s="152"/>
      <c r="K145" s="152" t="s">
        <v>409</v>
      </c>
      <c r="L145" s="152"/>
      <c r="M145" s="152"/>
      <c r="N145" s="152"/>
      <c r="O145" s="152"/>
      <c r="P145" s="152"/>
      <c r="Q145" s="152"/>
      <c r="R145" s="155" t="s">
        <v>422</v>
      </c>
      <c r="S145" s="152"/>
      <c r="T145" s="152"/>
      <c r="U145" s="386">
        <v>30000</v>
      </c>
      <c r="V145" s="152"/>
      <c r="AV145" s="391" t="s">
        <v>344</v>
      </c>
      <c r="AW145" s="391"/>
      <c r="AX145" s="391">
        <f>0.5*H146</f>
        <v>5</v>
      </c>
      <c r="AY145" s="391">
        <f>0.5*D153*O148*H146</f>
        <v>12915.000000000002</v>
      </c>
      <c r="AZ145" s="391">
        <f>1.15*((2*F150*D153*H146)^0.5)</f>
        <v>3613.2304369176113</v>
      </c>
      <c r="BA145" s="391">
        <f>MIN(AY145:AZ145)</f>
        <v>3613.2304369176113</v>
      </c>
      <c r="BB145" s="391"/>
      <c r="BC145" s="391"/>
      <c r="BD145" s="391"/>
      <c r="BE145" s="391" t="s">
        <v>369</v>
      </c>
      <c r="BF145" s="391"/>
      <c r="BG145" s="391"/>
      <c r="BH145" s="391"/>
      <c r="BI145" s="391"/>
      <c r="BJ145" s="391" t="s">
        <v>369</v>
      </c>
      <c r="BK145" s="391"/>
    </row>
    <row r="146" spans="2:63" ht="15" customHeight="1">
      <c r="B146" s="152" t="s">
        <v>218</v>
      </c>
      <c r="C146" s="152"/>
      <c r="D146" s="152"/>
      <c r="E146" s="152"/>
      <c r="F146" s="152"/>
      <c r="G146" s="152"/>
      <c r="H146" s="386">
        <v>10</v>
      </c>
      <c r="I146" s="152"/>
      <c r="J146" s="152"/>
      <c r="K146" s="152" t="s">
        <v>91</v>
      </c>
      <c r="L146" s="152"/>
      <c r="M146" s="152"/>
      <c r="N146" s="152"/>
      <c r="O146" s="387" t="s">
        <v>13</v>
      </c>
      <c r="P146" s="152"/>
      <c r="Q146" s="152"/>
      <c r="R146" s="152" t="s">
        <v>203</v>
      </c>
      <c r="S146" s="152"/>
      <c r="T146" s="152"/>
      <c r="U146" s="386">
        <v>3</v>
      </c>
      <c r="V146" s="152"/>
      <c r="AV146" s="391" t="s">
        <v>345</v>
      </c>
      <c r="AW146" s="391"/>
      <c r="AX146" s="391">
        <f>H146</f>
        <v>10</v>
      </c>
      <c r="AY146" s="391">
        <f>0.5*D153*O148*H146</f>
        <v>12915.000000000002</v>
      </c>
      <c r="AZ146" s="391">
        <f>2.3*((F150*D153*O148)^0.5)</f>
        <v>19790.47815764023</v>
      </c>
      <c r="BA146" s="391">
        <f>MIN(AY146:AZ146)</f>
        <v>12915.000000000002</v>
      </c>
      <c r="BB146" s="391"/>
      <c r="BC146" s="391"/>
      <c r="BD146" s="391" t="s">
        <v>363</v>
      </c>
      <c r="BE146" s="391">
        <f>(4+ABS(COS(RADIANS(O149))))*H146</f>
        <v>40</v>
      </c>
      <c r="BF146" s="391"/>
      <c r="BG146" s="391"/>
      <c r="BH146" s="391"/>
      <c r="BI146" s="391" t="s">
        <v>363</v>
      </c>
      <c r="BJ146" s="391">
        <f>(3+(2*ABS(COS(RADIANS(O149)))))*H146</f>
        <v>30</v>
      </c>
      <c r="BK146" s="391"/>
    </row>
    <row r="147" spans="2:63" ht="15" customHeight="1">
      <c r="B147" s="152" t="s">
        <v>196</v>
      </c>
      <c r="C147" s="152"/>
      <c r="D147" s="152"/>
      <c r="E147" s="152"/>
      <c r="F147" s="152"/>
      <c r="G147" s="152"/>
      <c r="H147" s="386">
        <v>240</v>
      </c>
      <c r="I147" s="152"/>
      <c r="J147" s="152"/>
      <c r="K147" s="153" t="s">
        <v>178</v>
      </c>
      <c r="L147" s="152"/>
      <c r="M147" s="152"/>
      <c r="N147" s="152"/>
      <c r="O147" s="152">
        <f>HLOOKUP(O146,'Propiedades_bases cálculo'!C9:AD24,10,FALSE)</f>
        <v>350</v>
      </c>
      <c r="P147" s="152"/>
      <c r="Q147" s="152"/>
      <c r="R147" s="153" t="s">
        <v>204</v>
      </c>
      <c r="S147" s="152"/>
      <c r="T147" s="152"/>
      <c r="U147" s="387" t="s">
        <v>70</v>
      </c>
      <c r="V147" s="152"/>
      <c r="AV147" s="391" t="s">
        <v>346</v>
      </c>
      <c r="AW147" s="391"/>
      <c r="AX147" s="391" t="str">
        <f>IF(AND(O152&gt;0.5*H146,O152&lt;H146),O152," ")</f>
        <v xml:space="preserve"> </v>
      </c>
      <c r="AY147" s="391"/>
      <c r="AZ147" s="391"/>
      <c r="BA147" s="391">
        <f>FORECAST(O152,BA145:BA146,AX145:AX146)</f>
        <v>1752.876524301134</v>
      </c>
      <c r="BB147" s="391"/>
      <c r="BC147" s="391"/>
      <c r="BD147" s="391" t="s">
        <v>364</v>
      </c>
      <c r="BE147" s="391">
        <f>4*H146</f>
        <v>40</v>
      </c>
      <c r="BF147" s="391"/>
      <c r="BG147" s="391"/>
      <c r="BH147" s="391"/>
      <c r="BI147" s="391" t="s">
        <v>364</v>
      </c>
      <c r="BJ147" s="391">
        <f>3*H146</f>
        <v>30</v>
      </c>
      <c r="BK147" s="391"/>
    </row>
    <row r="148" spans="2:63" ht="15" customHeight="1">
      <c r="B148" s="152"/>
      <c r="C148" s="152"/>
      <c r="D148" s="152"/>
      <c r="E148" s="152"/>
      <c r="F148" s="152"/>
      <c r="G148" s="152"/>
      <c r="H148" s="152"/>
      <c r="I148" s="152"/>
      <c r="J148" s="152"/>
      <c r="K148" s="153" t="s">
        <v>349</v>
      </c>
      <c r="L148" s="152"/>
      <c r="M148" s="152"/>
      <c r="N148" s="152"/>
      <c r="O148" s="386">
        <v>150</v>
      </c>
      <c r="P148" s="152"/>
      <c r="Q148" s="152"/>
      <c r="R148" s="155" t="s">
        <v>182</v>
      </c>
      <c r="S148" s="152"/>
      <c r="T148" s="152"/>
      <c r="U148" s="152">
        <f>INDEX('Propiedades_bases cálculo'!B29:G32,MATCH('UNIONES ACERO-MADERA'!U146,'Propiedades_bases cálculo'!B29:B32,0),MATCH('UNIONES ACERO-MADERA'!U147,'Propiedades_bases cálculo'!B29:G29,0))</f>
        <v>0.9</v>
      </c>
      <c r="V148" s="152"/>
      <c r="AV148" s="391"/>
      <c r="AW148" s="391"/>
      <c r="AX148" s="391"/>
      <c r="AY148" s="391"/>
      <c r="AZ148" s="391"/>
      <c r="BA148" s="391"/>
      <c r="BB148" s="391"/>
      <c r="BC148" s="391"/>
      <c r="BD148" s="391" t="s">
        <v>365</v>
      </c>
      <c r="BE148" s="391">
        <f>MAX(7*H146,80)</f>
        <v>80</v>
      </c>
      <c r="BF148" s="391"/>
      <c r="BG148" s="391"/>
      <c r="BH148" s="391"/>
      <c r="BI148" s="391" t="s">
        <v>365</v>
      </c>
      <c r="BJ148" s="391">
        <f>MAX(7*H146,80)</f>
        <v>80</v>
      </c>
      <c r="BK148" s="391"/>
    </row>
    <row r="149" spans="2:63" ht="15" customHeight="1">
      <c r="B149" s="152" t="s">
        <v>193</v>
      </c>
      <c r="C149" s="152"/>
      <c r="D149" s="152"/>
      <c r="E149" s="152"/>
      <c r="F149" s="152"/>
      <c r="G149" s="152"/>
      <c r="H149" s="152"/>
      <c r="I149" s="152"/>
      <c r="J149" s="152"/>
      <c r="K149" s="153" t="s">
        <v>200</v>
      </c>
      <c r="L149" s="152"/>
      <c r="M149" s="152"/>
      <c r="N149" s="152"/>
      <c r="O149" s="386">
        <v>90</v>
      </c>
      <c r="P149" s="152"/>
      <c r="Q149" s="152"/>
      <c r="R149" s="158" t="s">
        <v>205</v>
      </c>
      <c r="S149" s="152"/>
      <c r="T149" s="152"/>
      <c r="U149" s="152">
        <v>1.3</v>
      </c>
      <c r="V149" s="152"/>
      <c r="AA149" s="169" t="s">
        <v>415</v>
      </c>
      <c r="AV149" s="391"/>
      <c r="AW149" s="391"/>
      <c r="AX149" s="391"/>
      <c r="AY149" s="391"/>
      <c r="AZ149" s="391"/>
      <c r="BA149" s="391"/>
      <c r="BB149" s="391"/>
      <c r="BC149" s="391"/>
      <c r="BD149" s="391" t="s">
        <v>366</v>
      </c>
      <c r="BE149" s="391">
        <f>(1+6*(SIN(RADIANS(O149))))*H146</f>
        <v>70</v>
      </c>
      <c r="BF149" s="391"/>
      <c r="BG149" s="391"/>
      <c r="BH149" s="391"/>
      <c r="BI149" s="391" t="s">
        <v>366</v>
      </c>
      <c r="BJ149" s="391">
        <f>MAX(BJ148*ABS(SIN(RADIANS(O149)))*H146,3*H146)</f>
        <v>800</v>
      </c>
      <c r="BK149" s="391"/>
    </row>
    <row r="150" spans="2:63" ht="15" customHeight="1">
      <c r="B150" s="152" t="s">
        <v>194</v>
      </c>
      <c r="C150" s="152"/>
      <c r="D150" s="152"/>
      <c r="E150" s="152"/>
      <c r="F150" s="152">
        <f>0.3*H147*(H146^2.6)</f>
        <v>28663.71627985183</v>
      </c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AV150" s="391"/>
      <c r="AW150" s="391"/>
      <c r="AX150" s="391"/>
      <c r="AY150" s="391"/>
      <c r="AZ150" s="391"/>
      <c r="BA150" s="391"/>
      <c r="BB150" s="391"/>
      <c r="BC150" s="391"/>
      <c r="BD150" s="391"/>
      <c r="BE150" s="391">
        <f>4*H146</f>
        <v>40</v>
      </c>
      <c r="BF150" s="391"/>
      <c r="BG150" s="391"/>
      <c r="BH150" s="391"/>
      <c r="BI150" s="391"/>
      <c r="BJ150" s="391">
        <f>3*H146</f>
        <v>30</v>
      </c>
      <c r="BK150" s="391"/>
    </row>
    <row r="151" spans="2:63" ht="15" customHeight="1">
      <c r="B151" s="152"/>
      <c r="C151" s="152"/>
      <c r="D151" s="152"/>
      <c r="E151" s="152"/>
      <c r="F151" s="152"/>
      <c r="G151" s="152"/>
      <c r="H151" s="152"/>
      <c r="I151" s="152"/>
      <c r="J151" s="152"/>
      <c r="K151" s="153" t="s">
        <v>406</v>
      </c>
      <c r="L151" s="152"/>
      <c r="M151" s="152"/>
      <c r="N151" s="152"/>
      <c r="O151" s="152"/>
      <c r="P151" s="155" t="s">
        <v>362</v>
      </c>
      <c r="Q151" s="152"/>
      <c r="R151" s="152"/>
      <c r="S151" s="152"/>
      <c r="T151" s="152"/>
      <c r="U151" s="152"/>
      <c r="V151" s="152"/>
      <c r="AV151" s="391"/>
      <c r="AW151" s="391"/>
      <c r="AX151" s="391"/>
      <c r="AY151" s="391"/>
      <c r="AZ151" s="391"/>
      <c r="BA151" s="391"/>
      <c r="BB151" s="391"/>
      <c r="BC151" s="391"/>
      <c r="BD151" s="391"/>
      <c r="BE151" s="391">
        <f>(1+6*(SIN(RADIANS(O149))))*H146</f>
        <v>70</v>
      </c>
      <c r="BF151" s="391"/>
      <c r="BG151" s="391"/>
      <c r="BH151" s="391"/>
      <c r="BI151" s="391"/>
      <c r="BJ151" s="391">
        <f>MAX(BJ148*ABS(SIN(RADIANS(O149)))*H146,3*H146)</f>
        <v>800</v>
      </c>
      <c r="BK151" s="391"/>
    </row>
    <row r="152" spans="2:63" ht="15" customHeight="1">
      <c r="B152" s="152" t="s">
        <v>176</v>
      </c>
      <c r="C152" s="152"/>
      <c r="D152" s="152"/>
      <c r="E152" s="152"/>
      <c r="F152" s="152"/>
      <c r="G152" s="152"/>
      <c r="H152" s="152"/>
      <c r="I152" s="152"/>
      <c r="J152" s="152"/>
      <c r="K152" s="166" t="s">
        <v>351</v>
      </c>
      <c r="L152" s="152"/>
      <c r="M152" s="152"/>
      <c r="N152" s="152"/>
      <c r="O152" s="386">
        <v>4</v>
      </c>
      <c r="P152" s="155" t="str">
        <f>IF(O152&lt;=0.5*H146,"DELGADA",IF(O152&gt;=H146,"GRUESA",IF(AND(O152&gt;0.5*H146,O152&lt;H146),"INTERMEDIA")))</f>
        <v>DELGADA</v>
      </c>
      <c r="Q152" s="152"/>
      <c r="R152" s="152"/>
      <c r="S152" s="152"/>
      <c r="T152" s="152"/>
      <c r="U152" s="152"/>
      <c r="V152" s="152"/>
      <c r="AV152" s="391"/>
      <c r="AW152" s="391"/>
      <c r="AX152" s="391"/>
      <c r="AY152" s="391"/>
      <c r="AZ152" s="391"/>
      <c r="BA152" s="391"/>
      <c r="BB152" s="391"/>
      <c r="BC152" s="391"/>
      <c r="BD152" s="391" t="s">
        <v>367</v>
      </c>
      <c r="BE152" s="391">
        <f>MAX((2+(2*SIN(RADIANS(O149))))*H146,3*H146)</f>
        <v>40</v>
      </c>
      <c r="BF152" s="391"/>
      <c r="BG152" s="391"/>
      <c r="BH152" s="391"/>
      <c r="BI152" s="391" t="s">
        <v>367</v>
      </c>
      <c r="BJ152" s="391">
        <f>MAX((2+(2*SIN(RADIANS(O149))))*H146,3*H146)</f>
        <v>40</v>
      </c>
      <c r="BK152" s="391"/>
    </row>
    <row r="153" spans="2:63" ht="15" customHeight="1">
      <c r="B153" s="155" t="s">
        <v>208</v>
      </c>
      <c r="C153" s="152"/>
      <c r="D153" s="152">
        <f>D154/((C155*(SIN(RADIANS(O149)))^2)+(COS(RADIANS(O149)))^2)</f>
        <v>17.220000000000002</v>
      </c>
      <c r="E153" s="152"/>
      <c r="F153" s="152"/>
      <c r="G153" s="152"/>
      <c r="H153" s="152"/>
      <c r="I153" s="152"/>
      <c r="J153" s="152"/>
      <c r="K153" s="152" t="s">
        <v>352</v>
      </c>
      <c r="L153" s="152"/>
      <c r="M153" s="152"/>
      <c r="N153" s="152"/>
      <c r="O153" s="387" t="s">
        <v>314</v>
      </c>
      <c r="P153" s="152"/>
      <c r="Q153" s="152"/>
      <c r="R153" s="152"/>
      <c r="S153" s="152"/>
      <c r="T153" s="152"/>
      <c r="U153" s="152"/>
      <c r="V153" s="152"/>
      <c r="AV153" s="391"/>
      <c r="AW153" s="391"/>
      <c r="AX153" s="391"/>
      <c r="AY153" s="391"/>
      <c r="AZ153" s="391"/>
      <c r="BA153" s="391"/>
      <c r="BB153" s="391"/>
      <c r="BC153" s="391"/>
      <c r="BD153" s="391" t="s">
        <v>368</v>
      </c>
      <c r="BE153" s="391">
        <f>3*H146</f>
        <v>30</v>
      </c>
      <c r="BF153" s="391"/>
      <c r="BG153" s="391"/>
      <c r="BH153" s="391"/>
      <c r="BI153" s="391" t="s">
        <v>368</v>
      </c>
      <c r="BJ153" s="391">
        <f>3*H146</f>
        <v>30</v>
      </c>
      <c r="BK153" s="391"/>
    </row>
    <row r="154" spans="2:63" ht="15" customHeight="1">
      <c r="B154" s="155" t="s">
        <v>335</v>
      </c>
      <c r="C154" s="152"/>
      <c r="D154" s="152">
        <f>0.082*(1-(0.01*H146))*O147</f>
        <v>25.830000000000002</v>
      </c>
      <c r="E154" s="152"/>
      <c r="F154" s="152"/>
      <c r="G154" s="152"/>
      <c r="H154" s="152"/>
      <c r="I154" s="152"/>
      <c r="J154" s="152"/>
      <c r="K154" s="152" t="s">
        <v>312</v>
      </c>
      <c r="L154" s="152"/>
      <c r="M154" s="152"/>
      <c r="N154" s="152"/>
      <c r="O154" s="152">
        <f>VLOOKUP(O153,AV4:AW6,2)</f>
        <v>275</v>
      </c>
      <c r="P154" s="152"/>
      <c r="Q154" s="152"/>
      <c r="R154" s="152"/>
      <c r="S154" s="152"/>
      <c r="T154" s="152"/>
      <c r="U154" s="152"/>
      <c r="V154" s="152"/>
      <c r="AV154" s="391"/>
      <c r="AW154" s="391"/>
      <c r="AX154" s="391"/>
      <c r="AY154" s="391"/>
      <c r="AZ154" s="391"/>
      <c r="BA154" s="391"/>
      <c r="BB154" s="391"/>
      <c r="BC154" s="391"/>
      <c r="BD154" s="391"/>
      <c r="BE154" s="391"/>
      <c r="BF154" s="391"/>
      <c r="BG154" s="391"/>
      <c r="BH154" s="391"/>
      <c r="BI154" s="391"/>
      <c r="BJ154" s="391"/>
      <c r="BK154" s="391"/>
    </row>
    <row r="155" spans="2:22" ht="15" customHeight="1">
      <c r="B155" s="160" t="s">
        <v>209</v>
      </c>
      <c r="C155" s="152">
        <f>IF(AND(O147&gt;=290,O147&lt;=460),1.35+(0.015*H146),0.9+(0.015*H146))</f>
        <v>1.5</v>
      </c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</row>
    <row r="156" spans="2:22" ht="15" customHeight="1"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</row>
    <row r="157" spans="2:22" ht="15" customHeight="1">
      <c r="B157" s="152" t="s">
        <v>331</v>
      </c>
      <c r="C157" s="152"/>
      <c r="D157" s="152"/>
      <c r="E157" s="152"/>
      <c r="F157" s="152"/>
      <c r="G157" s="152">
        <f>0.53*O154*H146*O152</f>
        <v>5830</v>
      </c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</row>
    <row r="158" spans="24:33" ht="15" customHeight="1">
      <c r="X158" t="s">
        <v>283</v>
      </c>
      <c r="AA158" t="s">
        <v>284</v>
      </c>
      <c r="AB158" s="97"/>
      <c r="AC158" s="97"/>
      <c r="AD158" t="s">
        <v>285</v>
      </c>
      <c r="AE158" s="97"/>
      <c r="AF158" s="97"/>
      <c r="AG158" t="s">
        <v>286</v>
      </c>
    </row>
    <row r="159" ht="15" customHeight="1">
      <c r="AA159" s="170" t="s">
        <v>416</v>
      </c>
    </row>
    <row r="160" ht="15" customHeight="1">
      <c r="B160" s="131" t="s">
        <v>216</v>
      </c>
    </row>
    <row r="161" spans="2:33" ht="15" customHeight="1">
      <c r="B161" s="25" t="s">
        <v>420</v>
      </c>
      <c r="X161" s="175" t="s">
        <v>392</v>
      </c>
      <c r="AG161" s="1" t="s">
        <v>414</v>
      </c>
    </row>
    <row r="162" spans="2:35" ht="15" customHeight="1">
      <c r="B162" s="25"/>
      <c r="Y162" s="178" t="s">
        <v>385</v>
      </c>
      <c r="Z162" s="178" t="s">
        <v>386</v>
      </c>
      <c r="AA162" s="178" t="s">
        <v>387</v>
      </c>
      <c r="AB162" s="178" t="s">
        <v>388</v>
      </c>
      <c r="AC162" s="178" t="s">
        <v>389</v>
      </c>
      <c r="AD162" s="178" t="s">
        <v>390</v>
      </c>
      <c r="AG162" s="185" t="s">
        <v>328</v>
      </c>
      <c r="AH162" s="129" t="s">
        <v>413</v>
      </c>
      <c r="AI162" s="129"/>
    </row>
    <row r="163" spans="2:35" ht="15" customHeight="1">
      <c r="B163" s="25" t="s">
        <v>183</v>
      </c>
      <c r="C163" s="2" t="s">
        <v>326</v>
      </c>
      <c r="D163" s="150">
        <f>IF(O152&lt;=0.5*H146,AY145,IF(O152&gt;=H146,AY146,"-"))</f>
        <v>12915.000000000002</v>
      </c>
      <c r="X163" s="155" t="s">
        <v>383</v>
      </c>
      <c r="Y163" s="171">
        <f>BE146</f>
        <v>40</v>
      </c>
      <c r="Z163" s="171">
        <f>BE147</f>
        <v>40</v>
      </c>
      <c r="AA163" s="171">
        <f>BE148</f>
        <v>80</v>
      </c>
      <c r="AB163" s="171">
        <f>IF(150&lt;=O149&lt;210,BE150,BE149)</f>
        <v>70</v>
      </c>
      <c r="AC163" s="171">
        <f>BE152</f>
        <v>40</v>
      </c>
      <c r="AD163" s="171">
        <f>BE153</f>
        <v>30</v>
      </c>
      <c r="AE163" s="160" t="s">
        <v>383</v>
      </c>
      <c r="AG163" s="171">
        <f>H146+1</f>
        <v>11</v>
      </c>
      <c r="AH163" s="152">
        <f>H146</f>
        <v>10</v>
      </c>
      <c r="AI163" t="s">
        <v>412</v>
      </c>
    </row>
    <row r="164" spans="2:10" ht="15" customHeight="1">
      <c r="B164" s="25" t="s">
        <v>184</v>
      </c>
      <c r="C164" s="2" t="s">
        <v>326</v>
      </c>
      <c r="D164" s="150">
        <f>IF(O152&lt;=0.5*H146,AZ145,IF(O152&gt;=H146,AZ146,"-"))</f>
        <v>3613.2304369176113</v>
      </c>
      <c r="J164" t="s">
        <v>419</v>
      </c>
    </row>
    <row r="165" spans="3:24" ht="15" customHeight="1">
      <c r="C165" s="2"/>
      <c r="X165" s="175" t="s">
        <v>332</v>
      </c>
    </row>
    <row r="166" spans="3:33" ht="15" customHeight="1">
      <c r="C166" s="2" t="s">
        <v>326</v>
      </c>
      <c r="D166" s="150">
        <f>IF(OR(O152&lt;=0.5*H146,O152&gt;=H146),MIN(D163:D164),"-")</f>
        <v>3613.2304369176113</v>
      </c>
      <c r="J166" s="2" t="s">
        <v>326</v>
      </c>
      <c r="K166" s="130" t="str">
        <f>IF(AND(O152&gt;0.5*H146,O152&lt;H146),BA147,"-")</f>
        <v>-</v>
      </c>
      <c r="Y166" s="178" t="s">
        <v>385</v>
      </c>
      <c r="Z166" s="178" t="s">
        <v>386</v>
      </c>
      <c r="AA166" s="178" t="s">
        <v>387</v>
      </c>
      <c r="AB166" s="178" t="s">
        <v>388</v>
      </c>
      <c r="AC166" s="178" t="s">
        <v>389</v>
      </c>
      <c r="AD166" s="178" t="s">
        <v>390</v>
      </c>
      <c r="AG166" s="1" t="s">
        <v>414</v>
      </c>
    </row>
    <row r="167" spans="3:34" ht="15" customHeight="1">
      <c r="C167" s="2" t="s">
        <v>327</v>
      </c>
      <c r="D167" s="150">
        <f>IF(OR(O152&lt;=0.5*H146,O152&gt;=H146),D166*U148/U149,"-")</f>
        <v>2501.4672255583464</v>
      </c>
      <c r="J167" s="2" t="s">
        <v>327</v>
      </c>
      <c r="K167" s="130" t="str">
        <f>IF(AND(O152&gt;0.5*H146,O152&lt;H146),K166*U148/U149,"-")</f>
        <v>-</v>
      </c>
      <c r="X167" s="155" t="s">
        <v>383</v>
      </c>
      <c r="Y167" s="171">
        <f>BJ146</f>
        <v>30</v>
      </c>
      <c r="Z167" s="171">
        <f>BJ147</f>
        <v>30</v>
      </c>
      <c r="AA167" s="171">
        <f>BJ148</f>
        <v>80</v>
      </c>
      <c r="AB167" s="171">
        <f>IF(150&lt;=O149&lt;210,BJ150,BJ149)</f>
        <v>800</v>
      </c>
      <c r="AC167" s="171">
        <f>BJ152</f>
        <v>40</v>
      </c>
      <c r="AD167" s="171">
        <f>BJ153</f>
        <v>30</v>
      </c>
      <c r="AE167" s="160" t="s">
        <v>383</v>
      </c>
      <c r="AG167" s="180">
        <f>IF(O147&lt;=460,0.75*H146,0.9*H146)</f>
        <v>7.5</v>
      </c>
      <c r="AH167" t="s">
        <v>412</v>
      </c>
    </row>
    <row r="168" spans="3:14" ht="15" customHeight="1">
      <c r="C168" s="1" t="s">
        <v>214</v>
      </c>
      <c r="F168" s="150">
        <f>IF(OR(O152&lt;=0.5*H146,O152&gt;=H146),2*D167,"-")</f>
        <v>5002.934451116693</v>
      </c>
      <c r="J168" s="1" t="s">
        <v>214</v>
      </c>
      <c r="N168" t="str">
        <f>IF(AND(O152&gt;0.5*H146,O152&lt;H146),2*K167,"-")</f>
        <v>-</v>
      </c>
    </row>
    <row r="169" spans="3:16" ht="15" customHeight="1">
      <c r="C169" s="2" t="s">
        <v>202</v>
      </c>
      <c r="F169" s="182">
        <f>IF(OR(O152&lt;=0.5*H146,O152&gt;=H146),U145/F168,"-")</f>
        <v>5.9964807240885944</v>
      </c>
      <c r="G169" s="1" t="str">
        <f>IF(MIN(D163:D164)&gt;G157,"FALLO PLACA ACERO"," ")</f>
        <v xml:space="preserve"> </v>
      </c>
      <c r="J169" s="2" t="s">
        <v>202</v>
      </c>
      <c r="N169" s="1" t="str">
        <f>IF(AND(O152&gt;0.5*H146,O152&lt;H146),U145/N168,"-")</f>
        <v>-</v>
      </c>
      <c r="P169" s="1" t="str">
        <f>IF(AND(O152&gt;0.5*H146,O152&lt;H146,BA147&gt;G157),"FALLO PLACA ACERO"," ")</f>
        <v xml:space="preserve"> </v>
      </c>
    </row>
  </sheetData>
  <sheetProtection password="FF5A" sheet="1" objects="1" scenarios="1" selectLockedCells="1"/>
  <mergeCells count="4">
    <mergeCell ref="B2:W2"/>
    <mergeCell ref="E8:F8"/>
    <mergeCell ref="E64:F64"/>
    <mergeCell ref="E120:F120"/>
  </mergeCells>
  <conditionalFormatting sqref="D22:D24">
    <cfRule type="cellIs" priority="6" dxfId="0" operator="equal">
      <formula>$D$26</formula>
    </cfRule>
  </conditionalFormatting>
  <conditionalFormatting sqref="D49:D51">
    <cfRule type="cellIs" priority="5" dxfId="0" operator="equal">
      <formula>$D$53</formula>
    </cfRule>
  </conditionalFormatting>
  <conditionalFormatting sqref="D78:D80">
    <cfRule type="cellIs" priority="4" dxfId="0" operator="equal">
      <formula>$D$82</formula>
    </cfRule>
  </conditionalFormatting>
  <conditionalFormatting sqref="D106:D108">
    <cfRule type="cellIs" priority="3" dxfId="0" operator="equal">
      <formula>$D$110</formula>
    </cfRule>
  </conditionalFormatting>
  <conditionalFormatting sqref="D134:D135">
    <cfRule type="cellIs" priority="2" dxfId="0" operator="equal">
      <formula>$D$137</formula>
    </cfRule>
  </conditionalFormatting>
  <conditionalFormatting sqref="D163:D164">
    <cfRule type="cellIs" priority="1" dxfId="0" operator="equal">
      <formula>$D$166</formula>
    </cfRule>
  </conditionalFormatting>
  <dataValidations count="8">
    <dataValidation type="list" allowBlank="1" showInputMessage="1" showErrorMessage="1" sqref="O146 O9 O33 O65 O90 O121">
      <formula1>CLASES2</formula1>
    </dataValidation>
    <dataValidation type="list" allowBlank="1" showInputMessage="1" showErrorMessage="1" sqref="U65 U9 U33 U90 U121 U146">
      <formula1>SERVICIO</formula1>
    </dataValidation>
    <dataValidation type="list" allowBlank="1" showInputMessage="1" showErrorMessage="1" sqref="U66 U10 U34 U91 U122 U147">
      <formula1>DURACION</formula1>
    </dataValidation>
    <dataValidation type="list" allowBlank="1" showInputMessage="1" showErrorMessage="1" sqref="O97 O40 O16 O72 O128 O153">
      <formula1>$AV$4:$AV$6</formula1>
    </dataValidation>
    <dataValidation type="list" allowBlank="1" showInputMessage="1" showErrorMessage="1" sqref="E64:F64">
      <formula1>$AV$72:$AV$74</formula1>
    </dataValidation>
    <dataValidation type="list" allowBlank="1" showInputMessage="1" showErrorMessage="1" sqref="E8">
      <formula1>$AV$9:$AV$11</formula1>
    </dataValidation>
    <dataValidation type="list" allowBlank="1" showInputMessage="1" showErrorMessage="1" sqref="E120:F120">
      <formula1>$AV$122:$AV$124</formula1>
    </dataValidation>
    <dataValidation allowBlank="1" showInputMessage="1" showErrorMessage="1" prompt="fu,k mínima en clavos 600 N/mm2" sqref="G11 G123 G6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Bárbara</dc:creator>
  <cp:keywords/>
  <dc:description/>
  <cp:lastModifiedBy>Bárbara</cp:lastModifiedBy>
  <dcterms:created xsi:type="dcterms:W3CDTF">2011-05-28T19:31:39Z</dcterms:created>
  <dcterms:modified xsi:type="dcterms:W3CDTF">2011-06-10T11:11:59Z</dcterms:modified>
  <cp:category/>
  <cp:version/>
  <cp:contentType/>
  <cp:contentStatus/>
</cp:coreProperties>
</file>