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Inversiones I" sheetId="1" r:id="rId1"/>
    <sheet name="Inversiones II" sheetId="2" r:id="rId2"/>
    <sheet name="Tarifas" sheetId="3" r:id="rId3"/>
    <sheet name="Ingresos" sheetId="4" r:id="rId4"/>
    <sheet name="PyG" sheetId="5" r:id="rId5"/>
    <sheet name="Gastos Personal" sheetId="6" r:id="rId6"/>
    <sheet name="G. Func." sheetId="7" r:id="rId7"/>
    <sheet name="Gastos Fros" sheetId="8" r:id="rId8"/>
    <sheet name="Balance" sheetId="9" r:id="rId9"/>
    <sheet name="RATIOS" sheetId="10" r:id="rId10"/>
  </sheets>
  <definedNames/>
  <calcPr calcId="125725"/>
</workbook>
</file>

<file path=xl/sharedStrings.xml><?xml version="1.0" encoding="utf-8"?>
<sst xmlns="http://schemas.openxmlformats.org/spreadsheetml/2006/main" count="226" uniqueCount="189">
  <si>
    <t>PRECIO</t>
  </si>
  <si>
    <t>CANTIDAD</t>
  </si>
  <si>
    <t>IMPORTE</t>
  </si>
  <si>
    <t>OFICINA</t>
  </si>
  <si>
    <t>Mesa y silla de dirección</t>
  </si>
  <si>
    <t>Mesa de reunión</t>
  </si>
  <si>
    <t>Sillas auxiliares</t>
  </si>
  <si>
    <t>Armario</t>
  </si>
  <si>
    <t>Mesa ordenador</t>
  </si>
  <si>
    <t>Ordenador (incluido el Software de Gestión)</t>
  </si>
  <si>
    <t>COCINA</t>
  </si>
  <si>
    <t>Teléfonos</t>
  </si>
  <si>
    <t>Campana extractora</t>
  </si>
  <si>
    <t>Motor de campana</t>
  </si>
  <si>
    <t>Congelador</t>
  </si>
  <si>
    <t>Nevera</t>
  </si>
  <si>
    <t>Lavavajillas industrial</t>
  </si>
  <si>
    <t>Batería de cocina</t>
  </si>
  <si>
    <t>Vajilla, cuberteria y cristaleria</t>
  </si>
  <si>
    <t>Mesa de trabajo</t>
  </si>
  <si>
    <t>Cocina industrial</t>
  </si>
  <si>
    <t>Fragadero</t>
  </si>
  <si>
    <t>Estantería metálica</t>
  </si>
  <si>
    <t>LAVANDERÍA Y TEXTIL</t>
  </si>
  <si>
    <t>Lavadora</t>
  </si>
  <si>
    <t>Toallas, mantas y sábanas</t>
  </si>
  <si>
    <t>WC y duchas infantiles (incluye instalación)</t>
  </si>
  <si>
    <t>Cambiador</t>
  </si>
  <si>
    <t>BAÑO Y DORMITORIOS</t>
  </si>
  <si>
    <t>UNIDADES EDUCATIVAS</t>
  </si>
  <si>
    <t>Cunas, Hamacas y tronas</t>
  </si>
  <si>
    <t>Camas apilables</t>
  </si>
  <si>
    <t>Juego de mesa y cinco sillas</t>
  </si>
  <si>
    <t xml:space="preserve">Juguetes </t>
  </si>
  <si>
    <t>Tobogán-laberinto</t>
  </si>
  <si>
    <t>Pequeña casa</t>
  </si>
  <si>
    <t>Psicomotricidad</t>
  </si>
  <si>
    <t>TOTAL</t>
  </si>
  <si>
    <t>CONSTITUCIÓN DE LA S.L.</t>
  </si>
  <si>
    <t>ALQUILER CHALET (2 meses de fianza)</t>
  </si>
  <si>
    <t>PROYECTO Y LICENCIAS MUNICIPALES</t>
  </si>
  <si>
    <t>SEGUROS</t>
  </si>
  <si>
    <t>OBRAS ACONDICIONAMIENTO (150€/m2)</t>
  </si>
  <si>
    <t>Total TESORERÍA INICIAL Necesaria</t>
  </si>
  <si>
    <t>AMORT.</t>
  </si>
  <si>
    <t>ANUAL</t>
  </si>
  <si>
    <t>DOTACIÓN</t>
  </si>
  <si>
    <t>INMOVILIZADO MATERIAL</t>
  </si>
  <si>
    <t>Certificación de Denominación Social</t>
  </si>
  <si>
    <t>Escritura de Constitución</t>
  </si>
  <si>
    <t>Liquidación ITP y AJD</t>
  </si>
  <si>
    <t>Inscripción en el Registro Mercantil</t>
  </si>
  <si>
    <t>Legalización y sellado de libros en RM</t>
  </si>
  <si>
    <t>TOTAL AMORTIZACIONES INMOVILIZADO</t>
  </si>
  <si>
    <t>Impresora Multifunción</t>
  </si>
  <si>
    <t>Vajilla, cubertería y cristalería</t>
  </si>
  <si>
    <t>Fregadero</t>
  </si>
  <si>
    <t xml:space="preserve">Webcam </t>
  </si>
  <si>
    <t>Webcam</t>
  </si>
  <si>
    <t>Tarifas</t>
  </si>
  <si>
    <t>Servicio alumnos 0-1 año</t>
  </si>
  <si>
    <t>Servicio alumnos 2-3 años</t>
  </si>
  <si>
    <t>Servicio alumnos 1-2 años</t>
  </si>
  <si>
    <t>Comedor</t>
  </si>
  <si>
    <t>IMPORTE (€/mes)</t>
  </si>
  <si>
    <t>Matrícula (Un único pago al inicio del curso)</t>
  </si>
  <si>
    <t>Hora extra</t>
  </si>
  <si>
    <t xml:space="preserve">Transporte </t>
  </si>
  <si>
    <t>Matrícula</t>
  </si>
  <si>
    <t>Tarifa</t>
  </si>
  <si>
    <t>Nº Alumnos</t>
  </si>
  <si>
    <t>Nº Meses</t>
  </si>
  <si>
    <t>Servicio</t>
  </si>
  <si>
    <t>Alumnos de 0 a 1 año</t>
  </si>
  <si>
    <t>Alumnos de 1 a 2 años</t>
  </si>
  <si>
    <t>Alumnos de 2 a 3 años</t>
  </si>
  <si>
    <t>Transporte</t>
  </si>
  <si>
    <t>CUENTA DE EXPLOTACIÓN</t>
  </si>
  <si>
    <t>A. OPERACIONES CONTINUADAS</t>
  </si>
  <si>
    <t>1. Importe Neto de la cifra de negocio</t>
  </si>
  <si>
    <t>Prestación de servicios</t>
  </si>
  <si>
    <t>5. Otros ingresos de explotación</t>
  </si>
  <si>
    <t>6. Gastos de personal</t>
  </si>
  <si>
    <t>Sueldos y Salarios</t>
  </si>
  <si>
    <t>Cargas sociales</t>
  </si>
  <si>
    <t>7. Otros gastos de explotación</t>
  </si>
  <si>
    <t>Servicios exteriores</t>
  </si>
  <si>
    <t>8. Amortización del inmovilizado</t>
  </si>
  <si>
    <t>A. 1. RESULTADO DE EXPLOTACIÓN</t>
  </si>
  <si>
    <t>13. Gastos Financieros</t>
  </si>
  <si>
    <t>A. 2. RESULTADO FINANCIERO</t>
  </si>
  <si>
    <t>A. 3. RESULTADO ANTES DE IMPUESTOS</t>
  </si>
  <si>
    <t>17. Impuesto sobre beneficios (IS)</t>
  </si>
  <si>
    <t>A. 5. RESULTADO DEL EJERCICIO</t>
  </si>
  <si>
    <t>A. 4. RESULTADO PROCEDENTE DE OP. CONTINUADAS</t>
  </si>
  <si>
    <t>Cuantía (€)</t>
  </si>
  <si>
    <t>Gastos de funcionamiento</t>
  </si>
  <si>
    <t>Categoría del empleado</t>
  </si>
  <si>
    <t>Carga Social</t>
  </si>
  <si>
    <t>Salario Base</t>
  </si>
  <si>
    <t>Gasto Anual</t>
  </si>
  <si>
    <t>Director/Gerente</t>
  </si>
  <si>
    <t>Técnico Auxiliar</t>
  </si>
  <si>
    <t>Técnico especialista infantil</t>
  </si>
  <si>
    <t>Técnico educación infantil</t>
  </si>
  <si>
    <t>Personal de cocina</t>
  </si>
  <si>
    <t>Personal de limpieza</t>
  </si>
  <si>
    <t>Nº</t>
  </si>
  <si>
    <t>GASTOS DE PERSONAL</t>
  </si>
  <si>
    <t>TOTALES</t>
  </si>
  <si>
    <t>Gasto Mens.</t>
  </si>
  <si>
    <t>Sueldos y salarios</t>
  </si>
  <si>
    <t xml:space="preserve">Carga Social </t>
  </si>
  <si>
    <t>Partida</t>
  </si>
  <si>
    <t>Concepto</t>
  </si>
  <si>
    <t>Suministro agua</t>
  </si>
  <si>
    <t>Electricidad</t>
  </si>
  <si>
    <t>Promedio 700€/bimensuales</t>
  </si>
  <si>
    <t>Promedio 103,33 €/bimensual</t>
  </si>
  <si>
    <t>Telefonía Fija e Internet</t>
  </si>
  <si>
    <t>Promedio 200€/Bimensuales</t>
  </si>
  <si>
    <t>Alimentación</t>
  </si>
  <si>
    <t>50€/mes por cada alumno</t>
  </si>
  <si>
    <t>Bienes fungibles</t>
  </si>
  <si>
    <t>Reposición de bienes uso diario</t>
  </si>
  <si>
    <t>Alquiler local</t>
  </si>
  <si>
    <t>1200€/mes</t>
  </si>
  <si>
    <t>Tributos</t>
  </si>
  <si>
    <t>IBI, Basura, IAE</t>
  </si>
  <si>
    <t>Gastos de gestoría y seguros</t>
  </si>
  <si>
    <t>Gestoría fiscal y laboral, y seguros</t>
  </si>
  <si>
    <t>Gastos de publicidad</t>
  </si>
  <si>
    <t>Buzoneo de Folletos</t>
  </si>
  <si>
    <t>Farmacia</t>
  </si>
  <si>
    <t>Botiquín y medicamentos</t>
  </si>
  <si>
    <t>GASTOS DE FUNCIONAMIENTO</t>
  </si>
  <si>
    <t>Préstamo</t>
  </si>
  <si>
    <t>Int nom</t>
  </si>
  <si>
    <t>Com apertura</t>
  </si>
  <si>
    <t>Plazo</t>
  </si>
  <si>
    <t>Devolución mensual por el método de Amortización Constante.</t>
  </si>
  <si>
    <t>Periodo</t>
  </si>
  <si>
    <t>Cuota mens</t>
  </si>
  <si>
    <t>Amort</t>
  </si>
  <si>
    <t>Flujos de caja</t>
  </si>
  <si>
    <t xml:space="preserve">Deuda Pendiente </t>
  </si>
  <si>
    <t>Mínimo 60€</t>
  </si>
  <si>
    <t>Intereses</t>
  </si>
  <si>
    <t>Gasto 1er año</t>
  </si>
  <si>
    <t>Gastos totales</t>
  </si>
  <si>
    <t>ACTIVO</t>
  </si>
  <si>
    <t>PN Y PASIVO</t>
  </si>
  <si>
    <t>ANC</t>
  </si>
  <si>
    <t>Inmovilizado</t>
  </si>
  <si>
    <t>(Amortización)</t>
  </si>
  <si>
    <t>Fianza</t>
  </si>
  <si>
    <t>Gastos de Constitución</t>
  </si>
  <si>
    <t>AC</t>
  </si>
  <si>
    <t>Tesorería</t>
  </si>
  <si>
    <t xml:space="preserve">PN  </t>
  </si>
  <si>
    <t>Capital Social</t>
  </si>
  <si>
    <t>Rdo. Ejercicio</t>
  </si>
  <si>
    <t>PNC</t>
  </si>
  <si>
    <t>PC</t>
  </si>
  <si>
    <t>Deudas a CP</t>
  </si>
  <si>
    <t>HP Acreedora</t>
  </si>
  <si>
    <t>Ratio de Liquidez</t>
  </si>
  <si>
    <t xml:space="preserve"> = AC/PC</t>
  </si>
  <si>
    <t>Ratio de Endeudamiento</t>
  </si>
  <si>
    <t xml:space="preserve"> = P/(PN+P)</t>
  </si>
  <si>
    <t>Ratio de Solvencia</t>
  </si>
  <si>
    <t>Gastos Financieros</t>
  </si>
  <si>
    <t xml:space="preserve"> = G.Fros/vtas</t>
  </si>
  <si>
    <t>Rentabilidad Económica</t>
  </si>
  <si>
    <t xml:space="preserve"> = BAII/Act</t>
  </si>
  <si>
    <t>Rentabilidad Financiera</t>
  </si>
  <si>
    <t>Coste de la Deuda</t>
  </si>
  <si>
    <t xml:space="preserve"> = G.Fros/Pcoste</t>
  </si>
  <si>
    <t>Calidad de la Deuda</t>
  </si>
  <si>
    <t xml:space="preserve"> = Act/Pas</t>
  </si>
  <si>
    <t xml:space="preserve"> = PC/Pas</t>
  </si>
  <si>
    <t>Apalancamiento Fro.</t>
  </si>
  <si>
    <t xml:space="preserve"> = Act/PN x BAI/BAII</t>
  </si>
  <si>
    <t xml:space="preserve"> = Bfo.Neto/BAI</t>
  </si>
  <si>
    <t>Rentabilidad Fra</t>
  </si>
  <si>
    <t>Subvenciones de explotación incorporadas al ejercicio</t>
  </si>
  <si>
    <t>GASTOS SERVICIOS EXTERIORES</t>
  </si>
  <si>
    <t>Dos microbuses de 16 plazas: 1600 €/mes</t>
  </si>
  <si>
    <t>Efecto Fiscal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</si>
</sst>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0" fillId="0" borderId="0" xfId="0" applyFont="1"/>
    <xf numFmtId="4" fontId="3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3" fillId="2" borderId="1" xfId="0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3" fontId="6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/>
    <xf numFmtId="0" fontId="2" fillId="0" borderId="0" xfId="0" applyFont="1" applyFill="1" applyBorder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3" xfId="0" applyNumberFormat="1" applyFont="1" applyBorder="1"/>
    <xf numFmtId="4" fontId="2" fillId="0" borderId="6" xfId="0" applyNumberFormat="1" applyFont="1" applyBorder="1"/>
    <xf numFmtId="10" fontId="2" fillId="0" borderId="1" xfId="0" applyNumberFormat="1" applyFont="1" applyBorder="1"/>
    <xf numFmtId="8" fontId="2" fillId="0" borderId="0" xfId="0" applyNumberFormat="1" applyFont="1"/>
    <xf numFmtId="0" fontId="3" fillId="4" borderId="1" xfId="0" applyFont="1" applyFill="1" applyBorder="1"/>
    <xf numFmtId="4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4" fontId="3" fillId="5" borderId="1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3" fillId="3" borderId="1" xfId="0" applyNumberFormat="1" applyFont="1" applyFill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0" fontId="7" fillId="0" borderId="1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20">
      <selection activeCell="D41" sqref="D41"/>
    </sheetView>
  </sheetViews>
  <sheetFormatPr defaultColWidth="11.421875" defaultRowHeight="15"/>
  <cols>
    <col min="1" max="1" width="45.7109375" style="0" customWidth="1"/>
    <col min="4" max="4" width="11.8515625" style="0" bestFit="1" customWidth="1"/>
  </cols>
  <sheetData>
    <row r="1" spans="1:4" ht="15.75">
      <c r="A1" s="1"/>
      <c r="B1" s="1"/>
      <c r="C1" s="1"/>
      <c r="D1" s="1"/>
    </row>
    <row r="2" spans="1:4" ht="15.75">
      <c r="A2" s="1"/>
      <c r="B2" s="2" t="s">
        <v>0</v>
      </c>
      <c r="C2" s="2" t="s">
        <v>1</v>
      </c>
      <c r="D2" s="2" t="s">
        <v>2</v>
      </c>
    </row>
    <row r="3" spans="1:4" ht="15.75">
      <c r="A3" s="62" t="s">
        <v>3</v>
      </c>
      <c r="B3" s="62"/>
      <c r="C3" s="62"/>
      <c r="D3" s="3">
        <f>SUM(D4:D12)</f>
        <v>3737</v>
      </c>
    </row>
    <row r="4" spans="1:4" ht="15.75">
      <c r="A4" s="4" t="s">
        <v>4</v>
      </c>
      <c r="B4" s="5">
        <v>461</v>
      </c>
      <c r="C4" s="6">
        <v>1</v>
      </c>
      <c r="D4" s="5">
        <f>B4*C4</f>
        <v>461</v>
      </c>
    </row>
    <row r="5" spans="1:4" ht="15.75">
      <c r="A5" s="4" t="s">
        <v>5</v>
      </c>
      <c r="B5" s="5">
        <v>300</v>
      </c>
      <c r="C5" s="6">
        <v>1</v>
      </c>
      <c r="D5" s="5">
        <f aca="true" t="shared" si="0" ref="D5:D12">B5*C5</f>
        <v>300</v>
      </c>
    </row>
    <row r="6" spans="1:4" ht="15.75">
      <c r="A6" s="4" t="s">
        <v>6</v>
      </c>
      <c r="B6" s="5">
        <v>52</v>
      </c>
      <c r="C6" s="6">
        <v>8</v>
      </c>
      <c r="D6" s="5">
        <f t="shared" si="0"/>
        <v>416</v>
      </c>
    </row>
    <row r="7" spans="1:4" ht="15.75">
      <c r="A7" s="4" t="s">
        <v>7</v>
      </c>
      <c r="B7" s="5">
        <v>200</v>
      </c>
      <c r="C7" s="6">
        <v>2</v>
      </c>
      <c r="D7" s="5">
        <f t="shared" si="0"/>
        <v>400</v>
      </c>
    </row>
    <row r="8" spans="1:4" ht="15.75">
      <c r="A8" s="4" t="s">
        <v>8</v>
      </c>
      <c r="B8" s="5">
        <v>160</v>
      </c>
      <c r="C8" s="6">
        <v>1</v>
      </c>
      <c r="D8" s="5">
        <f t="shared" si="0"/>
        <v>160</v>
      </c>
    </row>
    <row r="9" spans="1:4" ht="15.75">
      <c r="A9" s="4" t="s">
        <v>9</v>
      </c>
      <c r="B9" s="5">
        <v>1100</v>
      </c>
      <c r="C9" s="6">
        <v>1</v>
      </c>
      <c r="D9" s="5">
        <f t="shared" si="0"/>
        <v>1100</v>
      </c>
    </row>
    <row r="10" spans="1:4" ht="15.75">
      <c r="A10" s="4" t="s">
        <v>57</v>
      </c>
      <c r="B10" s="5">
        <v>100</v>
      </c>
      <c r="C10" s="6">
        <v>6</v>
      </c>
      <c r="D10" s="5">
        <f t="shared" si="0"/>
        <v>600</v>
      </c>
    </row>
    <row r="11" spans="1:4" ht="15.75">
      <c r="A11" s="4" t="s">
        <v>54</v>
      </c>
      <c r="B11" s="5">
        <v>200</v>
      </c>
      <c r="C11" s="6">
        <v>1</v>
      </c>
      <c r="D11" s="5">
        <f t="shared" si="0"/>
        <v>200</v>
      </c>
    </row>
    <row r="12" spans="1:4" ht="15.75">
      <c r="A12" s="4" t="s">
        <v>11</v>
      </c>
      <c r="B12" s="5">
        <v>50</v>
      </c>
      <c r="C12" s="6">
        <v>2</v>
      </c>
      <c r="D12" s="5">
        <f t="shared" si="0"/>
        <v>100</v>
      </c>
    </row>
    <row r="13" spans="1:4" ht="15.75">
      <c r="A13" s="62" t="s">
        <v>10</v>
      </c>
      <c r="B13" s="62"/>
      <c r="C13" s="62"/>
      <c r="D13" s="3">
        <f>SUM(D14:D24)</f>
        <v>9350</v>
      </c>
    </row>
    <row r="14" spans="1:4" ht="15.75">
      <c r="A14" s="4" t="s">
        <v>12</v>
      </c>
      <c r="B14" s="5">
        <v>1200</v>
      </c>
      <c r="C14" s="7">
        <v>1</v>
      </c>
      <c r="D14" s="5">
        <f>B14*C14</f>
        <v>1200</v>
      </c>
    </row>
    <row r="15" spans="1:4" ht="15.75">
      <c r="A15" s="4" t="s">
        <v>13</v>
      </c>
      <c r="B15" s="5">
        <v>1500</v>
      </c>
      <c r="C15" s="7">
        <v>1</v>
      </c>
      <c r="D15" s="5">
        <f aca="true" t="shared" si="1" ref="D15:D24">B15*C15</f>
        <v>1500</v>
      </c>
    </row>
    <row r="16" spans="1:4" ht="15.75">
      <c r="A16" s="4" t="s">
        <v>14</v>
      </c>
      <c r="B16" s="5">
        <v>250</v>
      </c>
      <c r="C16" s="7">
        <v>1</v>
      </c>
      <c r="D16" s="5">
        <f t="shared" si="1"/>
        <v>250</v>
      </c>
    </row>
    <row r="17" spans="1:4" ht="15.75">
      <c r="A17" s="4" t="s">
        <v>15</v>
      </c>
      <c r="B17" s="5">
        <v>1000</v>
      </c>
      <c r="C17" s="7">
        <v>2</v>
      </c>
      <c r="D17" s="5">
        <f t="shared" si="1"/>
        <v>2000</v>
      </c>
    </row>
    <row r="18" spans="1:4" ht="15.75">
      <c r="A18" s="4" t="s">
        <v>16</v>
      </c>
      <c r="B18" s="5">
        <v>700</v>
      </c>
      <c r="C18" s="7">
        <v>1</v>
      </c>
      <c r="D18" s="5">
        <f t="shared" si="1"/>
        <v>700</v>
      </c>
    </row>
    <row r="19" spans="1:4" ht="15.75">
      <c r="A19" s="4" t="s">
        <v>17</v>
      </c>
      <c r="B19" s="5">
        <v>380</v>
      </c>
      <c r="C19" s="7">
        <v>1</v>
      </c>
      <c r="D19" s="5">
        <f t="shared" si="1"/>
        <v>380</v>
      </c>
    </row>
    <row r="20" spans="1:4" ht="15.75">
      <c r="A20" s="4" t="s">
        <v>55</v>
      </c>
      <c r="B20" s="5">
        <v>850</v>
      </c>
      <c r="C20" s="7">
        <v>1</v>
      </c>
      <c r="D20" s="5">
        <f t="shared" si="1"/>
        <v>850</v>
      </c>
    </row>
    <row r="21" spans="1:4" ht="15.75">
      <c r="A21" s="4" t="s">
        <v>19</v>
      </c>
      <c r="B21" s="5">
        <v>600</v>
      </c>
      <c r="C21" s="7">
        <v>1</v>
      </c>
      <c r="D21" s="5">
        <f t="shared" si="1"/>
        <v>600</v>
      </c>
    </row>
    <row r="22" spans="1:4" ht="15.75">
      <c r="A22" s="4" t="s">
        <v>20</v>
      </c>
      <c r="B22" s="5">
        <v>1500</v>
      </c>
      <c r="C22" s="7">
        <v>1</v>
      </c>
      <c r="D22" s="5">
        <f t="shared" si="1"/>
        <v>1500</v>
      </c>
    </row>
    <row r="23" spans="1:4" ht="15.75">
      <c r="A23" s="4" t="s">
        <v>21</v>
      </c>
      <c r="B23" s="5">
        <v>300</v>
      </c>
      <c r="C23" s="7">
        <v>1</v>
      </c>
      <c r="D23" s="5">
        <f t="shared" si="1"/>
        <v>300</v>
      </c>
    </row>
    <row r="24" spans="1:4" ht="15.75">
      <c r="A24" s="4" t="s">
        <v>22</v>
      </c>
      <c r="B24" s="5">
        <v>70</v>
      </c>
      <c r="C24" s="7">
        <v>1</v>
      </c>
      <c r="D24" s="5">
        <f t="shared" si="1"/>
        <v>70</v>
      </c>
    </row>
    <row r="25" spans="1:4" ht="15.75">
      <c r="A25" s="62" t="s">
        <v>23</v>
      </c>
      <c r="B25" s="62"/>
      <c r="C25" s="62"/>
      <c r="D25" s="3">
        <f>SUM(D26:D27)</f>
        <v>620</v>
      </c>
    </row>
    <row r="26" spans="1:4" ht="15.75">
      <c r="A26" s="4" t="s">
        <v>24</v>
      </c>
      <c r="B26" s="5">
        <v>270</v>
      </c>
      <c r="C26" s="6">
        <v>1</v>
      </c>
      <c r="D26" s="5">
        <f>B26*C26</f>
        <v>270</v>
      </c>
    </row>
    <row r="27" spans="1:4" ht="15.75">
      <c r="A27" s="4" t="s">
        <v>25</v>
      </c>
      <c r="B27" s="5">
        <v>350</v>
      </c>
      <c r="C27" s="6">
        <v>1</v>
      </c>
      <c r="D27" s="5">
        <f>B27*C27</f>
        <v>350</v>
      </c>
    </row>
    <row r="28" spans="1:4" ht="15.75">
      <c r="A28" s="63" t="s">
        <v>28</v>
      </c>
      <c r="B28" s="64"/>
      <c r="C28" s="65"/>
      <c r="D28" s="3">
        <f>SUM(D29:D32)</f>
        <v>5350</v>
      </c>
    </row>
    <row r="29" spans="1:4" ht="15.75">
      <c r="A29" s="4" t="s">
        <v>26</v>
      </c>
      <c r="B29" s="5">
        <v>700</v>
      </c>
      <c r="C29" s="6">
        <v>1</v>
      </c>
      <c r="D29" s="5">
        <f>B29*C29</f>
        <v>700</v>
      </c>
    </row>
    <row r="30" spans="1:4" ht="15.75">
      <c r="A30" s="4" t="s">
        <v>27</v>
      </c>
      <c r="B30" s="5">
        <v>500</v>
      </c>
      <c r="C30" s="6">
        <v>1</v>
      </c>
      <c r="D30" s="5">
        <f aca="true" t="shared" si="2" ref="D30:D32">B30*C30</f>
        <v>500</v>
      </c>
    </row>
    <row r="31" spans="1:4" ht="15.75">
      <c r="A31" s="4" t="s">
        <v>30</v>
      </c>
      <c r="B31" s="5">
        <v>230</v>
      </c>
      <c r="C31" s="6">
        <v>10</v>
      </c>
      <c r="D31" s="5">
        <f t="shared" si="2"/>
        <v>2300</v>
      </c>
    </row>
    <row r="32" spans="1:4" ht="15.75">
      <c r="A32" s="4" t="s">
        <v>31</v>
      </c>
      <c r="B32" s="5">
        <v>37</v>
      </c>
      <c r="C32" s="6">
        <v>50</v>
      </c>
      <c r="D32" s="5">
        <f t="shared" si="2"/>
        <v>1850</v>
      </c>
    </row>
    <row r="33" spans="1:4" ht="15.75">
      <c r="A33" s="62" t="s">
        <v>29</v>
      </c>
      <c r="B33" s="62"/>
      <c r="C33" s="62"/>
      <c r="D33" s="3">
        <f>SUM(D34:D38)</f>
        <v>4910</v>
      </c>
    </row>
    <row r="34" spans="1:4" ht="15.75">
      <c r="A34" s="4" t="s">
        <v>32</v>
      </c>
      <c r="B34" s="5">
        <v>160</v>
      </c>
      <c r="C34" s="6">
        <v>10</v>
      </c>
      <c r="D34" s="5">
        <f>B34*C34</f>
        <v>1600</v>
      </c>
    </row>
    <row r="35" spans="1:4" ht="15.75">
      <c r="A35" s="4" t="s">
        <v>33</v>
      </c>
      <c r="B35" s="5">
        <v>1600</v>
      </c>
      <c r="C35" s="6">
        <v>1</v>
      </c>
      <c r="D35" s="5">
        <f aca="true" t="shared" si="3" ref="D35:D38">B35*C35</f>
        <v>1600</v>
      </c>
    </row>
    <row r="36" spans="1:4" ht="15.75">
      <c r="A36" s="4" t="s">
        <v>34</v>
      </c>
      <c r="B36" s="5">
        <v>210</v>
      </c>
      <c r="C36" s="6">
        <v>1</v>
      </c>
      <c r="D36" s="5">
        <f t="shared" si="3"/>
        <v>210</v>
      </c>
    </row>
    <row r="37" spans="1:4" ht="15.75">
      <c r="A37" s="4" t="s">
        <v>35</v>
      </c>
      <c r="B37" s="5">
        <v>300</v>
      </c>
      <c r="C37" s="6">
        <v>1</v>
      </c>
      <c r="D37" s="5">
        <f t="shared" si="3"/>
        <v>300</v>
      </c>
    </row>
    <row r="38" spans="1:4" ht="15.75">
      <c r="A38" s="4" t="s">
        <v>36</v>
      </c>
      <c r="B38" s="5">
        <v>1200</v>
      </c>
      <c r="C38" s="6">
        <v>1</v>
      </c>
      <c r="D38" s="5">
        <f t="shared" si="3"/>
        <v>1200</v>
      </c>
    </row>
    <row r="39" spans="1:4" ht="15.75">
      <c r="A39" s="67" t="s">
        <v>37</v>
      </c>
      <c r="B39" s="67"/>
      <c r="C39" s="67"/>
      <c r="D39" s="8">
        <f>D33+D28+D25+D13+D3</f>
        <v>23967</v>
      </c>
    </row>
    <row r="40" spans="1:4" ht="15.75">
      <c r="A40" s="1"/>
      <c r="B40" s="1"/>
      <c r="C40" s="1"/>
      <c r="D40" s="1"/>
    </row>
    <row r="41" spans="1:4" ht="15.75">
      <c r="A41" s="66" t="s">
        <v>43</v>
      </c>
      <c r="B41" s="66"/>
      <c r="C41" s="66"/>
      <c r="D41" s="10">
        <f>D39+'Inversiones II'!D12</f>
        <v>70313.09</v>
      </c>
    </row>
    <row r="42" spans="1:4" ht="15.75">
      <c r="A42" s="1"/>
      <c r="B42" s="1"/>
      <c r="C42" s="1"/>
      <c r="D42" s="1"/>
    </row>
  </sheetData>
  <mergeCells count="7">
    <mergeCell ref="A3:C3"/>
    <mergeCell ref="A28:C28"/>
    <mergeCell ref="A41:C41"/>
    <mergeCell ref="A33:C33"/>
    <mergeCell ref="A25:C25"/>
    <mergeCell ref="A39:C39"/>
    <mergeCell ref="A13:C13"/>
  </mergeCells>
  <printOptions/>
  <pageMargins left="0.7" right="0.7" top="0.75" bottom="0.75" header="0.3" footer="0.3"/>
  <pageSetup horizontalDpi="600" verticalDpi="600" orientation="portrait" paperSize="9" r:id="rId1"/>
  <ignoredErrors>
    <ignoredError sqref="D13 D28 D25 D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10" sqref="A10:D14"/>
    </sheetView>
  </sheetViews>
  <sheetFormatPr defaultColWidth="11.421875" defaultRowHeight="15"/>
  <cols>
    <col min="2" max="2" width="14.421875" style="0" customWidth="1"/>
    <col min="3" max="3" width="19.28125" style="0" customWidth="1"/>
  </cols>
  <sheetData>
    <row r="2" spans="1:4" ht="15.75">
      <c r="A2" s="77" t="s">
        <v>166</v>
      </c>
      <c r="B2" s="77"/>
      <c r="C2" s="52" t="s">
        <v>167</v>
      </c>
      <c r="D2" s="53">
        <f>Balance!C7/Balance!F6</f>
        <v>1.880609006431524</v>
      </c>
    </row>
    <row r="3" spans="1:4" ht="15.75">
      <c r="A3" s="77" t="s">
        <v>168</v>
      </c>
      <c r="B3" s="77"/>
      <c r="C3" s="52" t="s">
        <v>169</v>
      </c>
      <c r="D3" s="53">
        <f>(Balance!F5+Balance!F6)/Balance!F9</f>
        <v>0.7057305131260742</v>
      </c>
    </row>
    <row r="4" spans="1:4" ht="15.75">
      <c r="A4" s="77" t="s">
        <v>170</v>
      </c>
      <c r="B4" s="77"/>
      <c r="C4" s="52" t="s">
        <v>179</v>
      </c>
      <c r="D4" s="53">
        <f>Balance!C9/(Balance!F5+Balance!F6)</f>
        <v>1.4169714102011988</v>
      </c>
    </row>
    <row r="5" spans="1:4" ht="15.75">
      <c r="A5" s="77" t="s">
        <v>171</v>
      </c>
      <c r="B5" s="77"/>
      <c r="C5" s="52" t="s">
        <v>172</v>
      </c>
      <c r="D5" s="53">
        <f>-PyG!B15/PyG!B4</f>
        <v>0.05675792894796861</v>
      </c>
    </row>
    <row r="6" spans="1:4" ht="15.75">
      <c r="A6" s="77" t="s">
        <v>178</v>
      </c>
      <c r="B6" s="77"/>
      <c r="C6" s="52" t="s">
        <v>180</v>
      </c>
      <c r="D6" s="53">
        <f>Balance!F6/(Balance!F5+Balance!F6)</f>
        <v>0.38538713150001414</v>
      </c>
    </row>
    <row r="7" spans="1:4" ht="15.75">
      <c r="A7" s="77" t="s">
        <v>176</v>
      </c>
      <c r="B7" s="77"/>
      <c r="C7" s="52" t="s">
        <v>177</v>
      </c>
      <c r="D7" s="53">
        <f>'Gastos Fros'!H21/(Balance!F5+Balance!F7)</f>
        <v>0.22413139002284027</v>
      </c>
    </row>
    <row r="8" spans="1:4" ht="15.75">
      <c r="A8" s="77" t="s">
        <v>173</v>
      </c>
      <c r="B8" s="77"/>
      <c r="C8" s="55" t="s">
        <v>174</v>
      </c>
      <c r="D8" s="56">
        <f>PyG!B14/Balance!C9</f>
        <v>0.5443820569706487</v>
      </c>
    </row>
    <row r="9" spans="1:4" ht="15.75">
      <c r="A9" s="59"/>
      <c r="B9" s="59"/>
      <c r="C9" s="60"/>
      <c r="D9" s="61"/>
    </row>
    <row r="10" spans="1:4" ht="15.75">
      <c r="A10" s="66" t="s">
        <v>175</v>
      </c>
      <c r="B10" s="66"/>
      <c r="C10" s="66"/>
      <c r="D10" s="66"/>
    </row>
    <row r="11" spans="1:4" ht="15.75">
      <c r="A11" s="71" t="s">
        <v>181</v>
      </c>
      <c r="B11" s="71"/>
      <c r="C11" s="4" t="s">
        <v>182</v>
      </c>
      <c r="D11" s="53">
        <f>(Balance!C9/Balance!F2)*(PyG!B17/PyG!B14)</f>
        <v>2.616066752994419</v>
      </c>
    </row>
    <row r="12" spans="1:4" ht="15.75">
      <c r="A12" s="71" t="s">
        <v>188</v>
      </c>
      <c r="B12" s="71"/>
      <c r="C12" s="54" t="s">
        <v>183</v>
      </c>
      <c r="D12" s="53">
        <f>PyG!B20/PyG!B17</f>
        <v>0.65</v>
      </c>
    </row>
    <row r="13" spans="1:4" ht="15.75">
      <c r="A13" s="75" t="s">
        <v>173</v>
      </c>
      <c r="B13" s="76"/>
      <c r="C13" s="52" t="s">
        <v>174</v>
      </c>
      <c r="D13" s="53">
        <f>D8</f>
        <v>0.5443820569706487</v>
      </c>
    </row>
    <row r="14" spans="3:4" ht="15.75">
      <c r="C14" s="55" t="s">
        <v>184</v>
      </c>
      <c r="D14" s="56">
        <f>D11*D12*D13</f>
        <v>0.9256908701089579</v>
      </c>
    </row>
  </sheetData>
  <mergeCells count="11">
    <mergeCell ref="A11:B11"/>
    <mergeCell ref="A12:B12"/>
    <mergeCell ref="A13:B13"/>
    <mergeCell ref="A10:D10"/>
    <mergeCell ref="A2:B2"/>
    <mergeCell ref="A4:B4"/>
    <mergeCell ref="A5:B5"/>
    <mergeCell ref="A8:B8"/>
    <mergeCell ref="A3:B3"/>
    <mergeCell ref="A7:B7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H41" sqref="H41"/>
    </sheetView>
  </sheetViews>
  <sheetFormatPr defaultColWidth="11.421875" defaultRowHeight="15"/>
  <cols>
    <col min="1" max="1" width="45.7109375" style="0" customWidth="1"/>
  </cols>
  <sheetData>
    <row r="1" spans="1:14" ht="15.75">
      <c r="A1" s="1"/>
      <c r="B1" s="2" t="s">
        <v>0</v>
      </c>
      <c r="C1" s="2" t="s">
        <v>1</v>
      </c>
      <c r="D1" s="2" t="s">
        <v>2</v>
      </c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4" t="s">
        <v>38</v>
      </c>
      <c r="B2" s="5">
        <v>3006</v>
      </c>
      <c r="C2" s="6">
        <v>1</v>
      </c>
      <c r="D2" s="5">
        <f>B2*C2</f>
        <v>3006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.75">
      <c r="A3" s="4" t="s">
        <v>48</v>
      </c>
      <c r="B3" s="5">
        <v>25.88</v>
      </c>
      <c r="C3" s="6">
        <v>1</v>
      </c>
      <c r="D3" s="5">
        <f>B3</f>
        <v>25.88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>
      <c r="A4" s="4" t="s">
        <v>49</v>
      </c>
      <c r="B4" s="5">
        <v>210.45</v>
      </c>
      <c r="C4" s="6">
        <v>1</v>
      </c>
      <c r="D4" s="5">
        <f aca="true" t="shared" si="0" ref="D4:D7">B4</f>
        <v>210.45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.75">
      <c r="A5" s="4" t="s">
        <v>50</v>
      </c>
      <c r="B5" s="5">
        <v>30.06</v>
      </c>
      <c r="C5" s="6">
        <v>1</v>
      </c>
      <c r="D5" s="5">
        <f t="shared" si="0"/>
        <v>30.06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>
      <c r="A6" s="4" t="s">
        <v>51</v>
      </c>
      <c r="B6" s="5">
        <v>123.78</v>
      </c>
      <c r="C6" s="6">
        <v>1</v>
      </c>
      <c r="D6" s="5">
        <f t="shared" si="0"/>
        <v>123.78</v>
      </c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>
      <c r="A7" s="4" t="s">
        <v>52</v>
      </c>
      <c r="B7" s="5">
        <v>49.92</v>
      </c>
      <c r="C7" s="6">
        <v>1</v>
      </c>
      <c r="D7" s="5">
        <f t="shared" si="0"/>
        <v>49.92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.75">
      <c r="A8" s="4" t="s">
        <v>39</v>
      </c>
      <c r="B8" s="5">
        <v>1200</v>
      </c>
      <c r="C8" s="6">
        <v>2</v>
      </c>
      <c r="D8" s="5">
        <f aca="true" t="shared" si="1" ref="D8:D11">B8*C8</f>
        <v>2400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5.75">
      <c r="A9" s="4" t="s">
        <v>40</v>
      </c>
      <c r="B9" s="5">
        <v>3000</v>
      </c>
      <c r="C9" s="6">
        <v>1</v>
      </c>
      <c r="D9" s="5">
        <f t="shared" si="1"/>
        <v>3000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.75">
      <c r="A10" s="4" t="s">
        <v>41</v>
      </c>
      <c r="B10" s="5">
        <v>3000</v>
      </c>
      <c r="C10" s="6">
        <v>1</v>
      </c>
      <c r="D10" s="5">
        <f t="shared" si="1"/>
        <v>3000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.75">
      <c r="A11" s="4" t="s">
        <v>42</v>
      </c>
      <c r="B11" s="5">
        <v>150</v>
      </c>
      <c r="C11" s="6">
        <v>230</v>
      </c>
      <c r="D11" s="5">
        <f t="shared" si="1"/>
        <v>34500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.75">
      <c r="A12" s="68" t="s">
        <v>37</v>
      </c>
      <c r="B12" s="69"/>
      <c r="C12" s="70"/>
      <c r="D12" s="10">
        <f>SUM(D2:D11)</f>
        <v>46346.09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.75">
      <c r="A14" s="11"/>
      <c r="B14" s="12"/>
      <c r="C14" s="12"/>
      <c r="D14" s="13" t="s">
        <v>44</v>
      </c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.75">
      <c r="A15" s="14" t="s">
        <v>47</v>
      </c>
      <c r="B15" s="2" t="s">
        <v>0</v>
      </c>
      <c r="C15" s="15" t="s">
        <v>46</v>
      </c>
      <c r="D15" s="16" t="s">
        <v>45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5.75">
      <c r="A16" s="4" t="s">
        <v>4</v>
      </c>
      <c r="B16" s="5">
        <v>461</v>
      </c>
      <c r="C16" s="17">
        <v>0.1</v>
      </c>
      <c r="D16" s="5">
        <f>B16*C16</f>
        <v>46.1</v>
      </c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5.75">
      <c r="A17" s="4" t="s">
        <v>5</v>
      </c>
      <c r="B17" s="5">
        <v>300</v>
      </c>
      <c r="C17" s="17">
        <v>0.1</v>
      </c>
      <c r="D17" s="5">
        <f aca="true" t="shared" si="2" ref="D17:D45">B17*C17</f>
        <v>30</v>
      </c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5.75">
      <c r="A18" s="4" t="s">
        <v>6</v>
      </c>
      <c r="B18" s="5">
        <v>416</v>
      </c>
      <c r="C18" s="17">
        <v>0.1</v>
      </c>
      <c r="D18" s="5">
        <f t="shared" si="2"/>
        <v>41.6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.75">
      <c r="A19" s="4" t="s">
        <v>7</v>
      </c>
      <c r="B19" s="5">
        <v>400</v>
      </c>
      <c r="C19" s="17">
        <v>0.1</v>
      </c>
      <c r="D19" s="5">
        <f t="shared" si="2"/>
        <v>40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.75">
      <c r="A20" s="4" t="s">
        <v>8</v>
      </c>
      <c r="B20" s="5">
        <v>160</v>
      </c>
      <c r="C20" s="17">
        <v>0.1</v>
      </c>
      <c r="D20" s="5">
        <f t="shared" si="2"/>
        <v>16</v>
      </c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5.75">
      <c r="A21" s="4" t="s">
        <v>9</v>
      </c>
      <c r="B21" s="5">
        <v>1100</v>
      </c>
      <c r="C21" s="17">
        <v>0.25</v>
      </c>
      <c r="D21" s="5">
        <f t="shared" si="2"/>
        <v>275</v>
      </c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.75">
      <c r="A22" s="4" t="s">
        <v>58</v>
      </c>
      <c r="B22" s="5">
        <v>600</v>
      </c>
      <c r="C22" s="17">
        <v>0.25</v>
      </c>
      <c r="D22" s="5">
        <f t="shared" si="2"/>
        <v>150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5.75">
      <c r="A23" s="4" t="s">
        <v>54</v>
      </c>
      <c r="B23" s="5">
        <v>200</v>
      </c>
      <c r="C23" s="17">
        <v>0.25</v>
      </c>
      <c r="D23" s="5">
        <f t="shared" si="2"/>
        <v>50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>
      <c r="A24" s="4" t="s">
        <v>11</v>
      </c>
      <c r="B24" s="5">
        <v>100</v>
      </c>
      <c r="C24" s="17">
        <v>0.25</v>
      </c>
      <c r="D24" s="5">
        <f t="shared" si="2"/>
        <v>25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.75">
      <c r="A25" s="4" t="s">
        <v>12</v>
      </c>
      <c r="B25" s="5">
        <v>1200</v>
      </c>
      <c r="C25" s="17">
        <v>0.1</v>
      </c>
      <c r="D25" s="5">
        <f t="shared" si="2"/>
        <v>120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>
      <c r="A26" s="4" t="s">
        <v>13</v>
      </c>
      <c r="B26" s="5">
        <v>1500</v>
      </c>
      <c r="C26" s="17">
        <v>0.1</v>
      </c>
      <c r="D26" s="5">
        <f t="shared" si="2"/>
        <v>150</v>
      </c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.75">
      <c r="A27" s="4" t="s">
        <v>14</v>
      </c>
      <c r="B27" s="5">
        <v>250</v>
      </c>
      <c r="C27" s="17">
        <v>0.1</v>
      </c>
      <c r="D27" s="5">
        <f t="shared" si="2"/>
        <v>25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>
      <c r="A28" s="4" t="s">
        <v>15</v>
      </c>
      <c r="B28" s="5">
        <v>2000</v>
      </c>
      <c r="C28" s="17">
        <v>0.1</v>
      </c>
      <c r="D28" s="5">
        <f t="shared" si="2"/>
        <v>200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75">
      <c r="A29" s="4" t="s">
        <v>16</v>
      </c>
      <c r="B29" s="5">
        <v>700</v>
      </c>
      <c r="C29" s="17">
        <v>0.1</v>
      </c>
      <c r="D29" s="5">
        <f t="shared" si="2"/>
        <v>70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75">
      <c r="A30" s="4" t="s">
        <v>17</v>
      </c>
      <c r="B30" s="5">
        <v>380</v>
      </c>
      <c r="C30" s="17">
        <v>0.1</v>
      </c>
      <c r="D30" s="5">
        <f t="shared" si="2"/>
        <v>38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>
      <c r="A31" s="4" t="s">
        <v>18</v>
      </c>
      <c r="B31" s="5">
        <v>850</v>
      </c>
      <c r="C31" s="17">
        <v>0.1</v>
      </c>
      <c r="D31" s="5">
        <f t="shared" si="2"/>
        <v>85</v>
      </c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>
      <c r="A32" s="4" t="s">
        <v>19</v>
      </c>
      <c r="B32" s="5">
        <v>600</v>
      </c>
      <c r="C32" s="17">
        <v>0.1</v>
      </c>
      <c r="D32" s="5">
        <f t="shared" si="2"/>
        <v>60</v>
      </c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>
      <c r="A33" s="4" t="s">
        <v>20</v>
      </c>
      <c r="B33" s="5">
        <v>1500</v>
      </c>
      <c r="C33" s="17">
        <v>0.1</v>
      </c>
      <c r="D33" s="5">
        <f t="shared" si="2"/>
        <v>150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>
      <c r="A34" s="4" t="s">
        <v>56</v>
      </c>
      <c r="B34" s="5">
        <v>300</v>
      </c>
      <c r="C34" s="17">
        <v>0.1</v>
      </c>
      <c r="D34" s="5">
        <f t="shared" si="2"/>
        <v>30</v>
      </c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>
      <c r="A35" s="4" t="s">
        <v>22</v>
      </c>
      <c r="B35" s="5">
        <v>70</v>
      </c>
      <c r="C35" s="17">
        <v>0.1</v>
      </c>
      <c r="D35" s="5">
        <f t="shared" si="2"/>
        <v>7</v>
      </c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>
      <c r="A36" s="4" t="s">
        <v>24</v>
      </c>
      <c r="B36" s="5">
        <v>270</v>
      </c>
      <c r="C36" s="17">
        <v>0.1</v>
      </c>
      <c r="D36" s="5">
        <f t="shared" si="2"/>
        <v>27</v>
      </c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.75">
      <c r="A37" s="4" t="s">
        <v>26</v>
      </c>
      <c r="B37" s="5">
        <v>700</v>
      </c>
      <c r="C37" s="17">
        <v>0.1</v>
      </c>
      <c r="D37" s="5">
        <f t="shared" si="2"/>
        <v>70</v>
      </c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>
      <c r="A38" s="4" t="s">
        <v>27</v>
      </c>
      <c r="B38" s="5">
        <v>500</v>
      </c>
      <c r="C38" s="17">
        <v>0.1</v>
      </c>
      <c r="D38" s="5">
        <f t="shared" si="2"/>
        <v>50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>
      <c r="A39" s="4" t="s">
        <v>30</v>
      </c>
      <c r="B39" s="5">
        <v>2300</v>
      </c>
      <c r="C39" s="17">
        <v>0.1</v>
      </c>
      <c r="D39" s="5">
        <f t="shared" si="2"/>
        <v>230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>
      <c r="A40" s="4" t="s">
        <v>31</v>
      </c>
      <c r="B40" s="5">
        <v>1850</v>
      </c>
      <c r="C40" s="17">
        <v>0.1</v>
      </c>
      <c r="D40" s="5">
        <f t="shared" si="2"/>
        <v>185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75">
      <c r="A41" s="4" t="s">
        <v>32</v>
      </c>
      <c r="B41" s="5">
        <v>1600</v>
      </c>
      <c r="C41" s="17">
        <v>0.1</v>
      </c>
      <c r="D41" s="5">
        <f t="shared" si="2"/>
        <v>160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75">
      <c r="A42" s="4" t="s">
        <v>33</v>
      </c>
      <c r="B42" s="5">
        <v>1600</v>
      </c>
      <c r="C42" s="17">
        <v>0.25</v>
      </c>
      <c r="D42" s="5">
        <f t="shared" si="2"/>
        <v>400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.75">
      <c r="A43" s="4" t="s">
        <v>34</v>
      </c>
      <c r="B43" s="5">
        <v>210</v>
      </c>
      <c r="C43" s="17">
        <v>0.25</v>
      </c>
      <c r="D43" s="5">
        <f t="shared" si="2"/>
        <v>52.5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75">
      <c r="A44" s="4" t="s">
        <v>35</v>
      </c>
      <c r="B44" s="5">
        <v>300</v>
      </c>
      <c r="C44" s="17">
        <v>0.25</v>
      </c>
      <c r="D44" s="5">
        <f t="shared" si="2"/>
        <v>75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75">
      <c r="A45" s="4" t="s">
        <v>36</v>
      </c>
      <c r="B45" s="5">
        <v>1200</v>
      </c>
      <c r="C45" s="17">
        <v>0.25</v>
      </c>
      <c r="D45" s="5">
        <f t="shared" si="2"/>
        <v>300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.75">
      <c r="A46" s="66" t="s">
        <v>53</v>
      </c>
      <c r="B46" s="66"/>
      <c r="C46" s="66"/>
      <c r="D46" s="20">
        <f>SUM(D16:D45)</f>
        <v>3158.2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.75">
      <c r="A47" s="1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</sheetData>
  <mergeCells count="2">
    <mergeCell ref="A12:C12"/>
    <mergeCell ref="A46:C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1" sqref="A11"/>
    </sheetView>
  </sheetViews>
  <sheetFormatPr defaultColWidth="11.421875" defaultRowHeight="15"/>
  <cols>
    <col min="1" max="1" width="45.7109375" style="0" customWidth="1"/>
    <col min="3" max="3" width="23.00390625" style="0" customWidth="1"/>
  </cols>
  <sheetData>
    <row r="1" spans="1:3" ht="15.75">
      <c r="A1" s="19" t="s">
        <v>59</v>
      </c>
      <c r="B1" s="66" t="s">
        <v>64</v>
      </c>
      <c r="C1" s="66"/>
    </row>
    <row r="2" spans="1:3" ht="15.75">
      <c r="A2" s="4" t="s">
        <v>65</v>
      </c>
      <c r="B2" s="71">
        <v>160</v>
      </c>
      <c r="C2" s="71"/>
    </row>
    <row r="3" spans="1:3" ht="15.75">
      <c r="A3" s="4" t="s">
        <v>60</v>
      </c>
      <c r="B3" s="71">
        <v>300</v>
      </c>
      <c r="C3" s="71"/>
    </row>
    <row r="4" spans="1:3" ht="15.75">
      <c r="A4" s="4" t="s">
        <v>62</v>
      </c>
      <c r="B4" s="71">
        <v>280</v>
      </c>
      <c r="C4" s="71"/>
    </row>
    <row r="5" spans="1:3" ht="15.75">
      <c r="A5" s="4" t="s">
        <v>61</v>
      </c>
      <c r="B5" s="71">
        <v>280</v>
      </c>
      <c r="C5" s="71"/>
    </row>
    <row r="6" spans="1:3" ht="15.75">
      <c r="A6" s="4" t="s">
        <v>66</v>
      </c>
      <c r="B6" s="71">
        <v>65</v>
      </c>
      <c r="C6" s="71"/>
    </row>
    <row r="7" spans="1:3" ht="15.75">
      <c r="A7" s="4" t="s">
        <v>63</v>
      </c>
      <c r="B7" s="71">
        <v>135</v>
      </c>
      <c r="C7" s="71"/>
    </row>
    <row r="8" spans="1:3" ht="15.75">
      <c r="A8" s="22" t="s">
        <v>67</v>
      </c>
      <c r="B8" s="71">
        <v>125</v>
      </c>
      <c r="C8" s="71"/>
    </row>
    <row r="9" spans="1:3" ht="15.75">
      <c r="A9" s="1"/>
      <c r="B9" s="1"/>
      <c r="C9" s="1"/>
    </row>
  </sheetData>
  <mergeCells count="8">
    <mergeCell ref="B8:C8"/>
    <mergeCell ref="B6:C6"/>
    <mergeCell ref="B1:C1"/>
    <mergeCell ref="B2:C2"/>
    <mergeCell ref="B3:C3"/>
    <mergeCell ref="B4:C4"/>
    <mergeCell ref="B5:C5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7"/>
    </sheetView>
  </sheetViews>
  <sheetFormatPr defaultColWidth="11.421875" defaultRowHeight="15"/>
  <cols>
    <col min="1" max="1" width="34.421875" style="0" customWidth="1"/>
    <col min="4" max="4" width="12.140625" style="0" customWidth="1"/>
  </cols>
  <sheetData>
    <row r="1" spans="1:6" ht="15.75">
      <c r="A1" s="19" t="s">
        <v>72</v>
      </c>
      <c r="B1" s="19" t="s">
        <v>68</v>
      </c>
      <c r="C1" s="19" t="s">
        <v>69</v>
      </c>
      <c r="D1" s="19" t="s">
        <v>70</v>
      </c>
      <c r="E1" s="19" t="s">
        <v>71</v>
      </c>
      <c r="F1" s="19" t="s">
        <v>37</v>
      </c>
    </row>
    <row r="2" spans="1:6" ht="15.75">
      <c r="A2" s="21" t="s">
        <v>73</v>
      </c>
      <c r="B2" s="21">
        <v>160</v>
      </c>
      <c r="C2" s="21">
        <v>300</v>
      </c>
      <c r="D2" s="21">
        <v>10</v>
      </c>
      <c r="E2" s="21">
        <v>10</v>
      </c>
      <c r="F2" s="7">
        <f>E2*D2*C2+B2</f>
        <v>30160</v>
      </c>
    </row>
    <row r="3" spans="1:6" ht="15.75">
      <c r="A3" s="21" t="s">
        <v>74</v>
      </c>
      <c r="B3" s="21">
        <v>160</v>
      </c>
      <c r="C3" s="21">
        <v>280</v>
      </c>
      <c r="D3" s="21">
        <v>20</v>
      </c>
      <c r="E3" s="21">
        <v>10</v>
      </c>
      <c r="F3" s="7">
        <f aca="true" t="shared" si="0" ref="F3:F6">E3*D3*C3+B3</f>
        <v>56160</v>
      </c>
    </row>
    <row r="4" spans="1:6" ht="15.75">
      <c r="A4" s="21" t="s">
        <v>75</v>
      </c>
      <c r="B4" s="21">
        <v>160</v>
      </c>
      <c r="C4" s="21">
        <v>280</v>
      </c>
      <c r="D4" s="21">
        <v>40</v>
      </c>
      <c r="E4" s="21">
        <v>10</v>
      </c>
      <c r="F4" s="7">
        <f t="shared" si="0"/>
        <v>112160</v>
      </c>
    </row>
    <row r="5" spans="1:6" ht="15.75">
      <c r="A5" s="21" t="s">
        <v>63</v>
      </c>
      <c r="B5" s="21"/>
      <c r="C5" s="21">
        <v>135</v>
      </c>
      <c r="D5" s="21">
        <v>50</v>
      </c>
      <c r="E5" s="21">
        <v>10</v>
      </c>
      <c r="F5" s="7">
        <f t="shared" si="0"/>
        <v>67500</v>
      </c>
    </row>
    <row r="6" spans="1:6" ht="15.75">
      <c r="A6" s="21" t="s">
        <v>76</v>
      </c>
      <c r="B6" s="21"/>
      <c r="C6" s="21">
        <v>125</v>
      </c>
      <c r="D6" s="21">
        <v>30</v>
      </c>
      <c r="E6" s="21">
        <v>10</v>
      </c>
      <c r="F6" s="7">
        <f t="shared" si="0"/>
        <v>37500</v>
      </c>
    </row>
    <row r="7" ht="15">
      <c r="F7" s="23">
        <f>SUM(F2:F6)</f>
        <v>303480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17" sqref="B17"/>
    </sheetView>
  </sheetViews>
  <sheetFormatPr defaultColWidth="11.421875" defaultRowHeight="15"/>
  <cols>
    <col min="1" max="1" width="57.140625" style="0" customWidth="1"/>
    <col min="2" max="2" width="22.8515625" style="0" customWidth="1"/>
    <col min="4" max="4" width="15.7109375" style="0" customWidth="1"/>
    <col min="5" max="5" width="12.00390625" style="0" bestFit="1" customWidth="1"/>
  </cols>
  <sheetData>
    <row r="1" spans="1:2" ht="15.75">
      <c r="A1" s="30" t="s">
        <v>77</v>
      </c>
      <c r="B1" s="31" t="s">
        <v>95</v>
      </c>
    </row>
    <row r="2" spans="1:2" ht="15.75">
      <c r="A2" s="26" t="s">
        <v>78</v>
      </c>
      <c r="B2" s="27"/>
    </row>
    <row r="3" spans="1:2" ht="15.75">
      <c r="A3" s="28" t="s">
        <v>79</v>
      </c>
      <c r="B3" s="29">
        <f>B4</f>
        <v>303480</v>
      </c>
    </row>
    <row r="4" spans="1:2" ht="15.75">
      <c r="A4" s="4" t="s">
        <v>80</v>
      </c>
      <c r="B4" s="5">
        <f>Ingresos!F7</f>
        <v>303480</v>
      </c>
    </row>
    <row r="5" spans="1:2" ht="15.75">
      <c r="A5" s="4" t="s">
        <v>81</v>
      </c>
      <c r="B5" s="5">
        <v>0</v>
      </c>
    </row>
    <row r="6" spans="1:2" ht="15.75">
      <c r="A6" s="4" t="s">
        <v>185</v>
      </c>
      <c r="B6" s="5">
        <v>0</v>
      </c>
    </row>
    <row r="7" spans="1:2" ht="15.75">
      <c r="A7" s="28" t="s">
        <v>82</v>
      </c>
      <c r="B7" s="29">
        <f>B8+B9</f>
        <v>-138106.71828000003</v>
      </c>
    </row>
    <row r="8" spans="1:2" ht="15.75">
      <c r="A8" s="4" t="s">
        <v>83</v>
      </c>
      <c r="B8" s="5">
        <f>-'Gastos Personal'!C12</f>
        <v>-106317.72000000002</v>
      </c>
    </row>
    <row r="9" spans="1:2" ht="15.75">
      <c r="A9" s="4" t="s">
        <v>84</v>
      </c>
      <c r="B9" s="5">
        <f>-'Gastos Personal'!C13</f>
        <v>-31788.99828</v>
      </c>
    </row>
    <row r="10" spans="1:2" ht="15.75">
      <c r="A10" s="28" t="s">
        <v>85</v>
      </c>
      <c r="B10" s="29">
        <f>B11+B12</f>
        <v>-87379.98</v>
      </c>
    </row>
    <row r="11" spans="1:5" ht="15.75">
      <c r="A11" s="4" t="s">
        <v>96</v>
      </c>
      <c r="B11" s="5">
        <f>-'G. Func.'!C12</f>
        <v>-68179.98</v>
      </c>
      <c r="D11" s="57" t="s">
        <v>149</v>
      </c>
      <c r="E11" s="50">
        <f>-(B7+B10+B13+B15)</f>
        <v>245869.79455712953</v>
      </c>
    </row>
    <row r="12" spans="1:2" ht="15.75">
      <c r="A12" s="4" t="s">
        <v>86</v>
      </c>
      <c r="B12" s="5">
        <f>-1600*12</f>
        <v>-19200</v>
      </c>
    </row>
    <row r="13" spans="1:2" ht="15.75">
      <c r="A13" s="28" t="s">
        <v>87</v>
      </c>
      <c r="B13" s="29">
        <f>-'Inversiones II'!D46</f>
        <v>-3158.2</v>
      </c>
    </row>
    <row r="14" spans="1:2" ht="15.75">
      <c r="A14" s="47" t="s">
        <v>88</v>
      </c>
      <c r="B14" s="48">
        <f>B3+B5+B7+B10+B13</f>
        <v>74835.10171999998</v>
      </c>
    </row>
    <row r="15" spans="1:2" ht="15.75">
      <c r="A15" s="28" t="s">
        <v>89</v>
      </c>
      <c r="B15" s="29">
        <f>-'Gastos Fros'!H21</f>
        <v>-17224.896277129516</v>
      </c>
    </row>
    <row r="16" spans="1:2" ht="15.75">
      <c r="A16" s="47" t="s">
        <v>90</v>
      </c>
      <c r="B16" s="48">
        <f>B15</f>
        <v>-17224.896277129516</v>
      </c>
    </row>
    <row r="17" spans="1:2" ht="15.75">
      <c r="A17" s="45" t="s">
        <v>91</v>
      </c>
      <c r="B17" s="46">
        <f>B14+B16</f>
        <v>57610.20544287046</v>
      </c>
    </row>
    <row r="18" spans="1:2" ht="15.75">
      <c r="A18" s="4" t="s">
        <v>92</v>
      </c>
      <c r="B18" s="5">
        <f>-0.35*B17</f>
        <v>-20163.571905004657</v>
      </c>
    </row>
    <row r="19" spans="1:2" ht="15.75">
      <c r="A19" s="47" t="s">
        <v>94</v>
      </c>
      <c r="B19" s="48">
        <f>B18+B17</f>
        <v>37446.6335378658</v>
      </c>
    </row>
    <row r="20" spans="1:2" ht="15.75">
      <c r="A20" s="45" t="s">
        <v>93</v>
      </c>
      <c r="B20" s="46">
        <f>B19</f>
        <v>37446.6335378658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F9"/>
    </sheetView>
  </sheetViews>
  <sheetFormatPr defaultColWidth="11.421875" defaultRowHeight="15"/>
  <cols>
    <col min="1" max="1" width="27.421875" style="0" customWidth="1"/>
    <col min="2" max="2" width="3.8515625" style="0" customWidth="1"/>
    <col min="3" max="3" width="12.28125" style="0" customWidth="1"/>
    <col min="4" max="5" width="12.140625" style="0" customWidth="1"/>
    <col min="6" max="6" width="12.00390625" style="0" customWidth="1"/>
    <col min="7" max="7" width="11.8515625" style="0" customWidth="1"/>
    <col min="8" max="8" width="13.7109375" style="0" customWidth="1"/>
  </cols>
  <sheetData>
    <row r="1" spans="1:8" ht="15.75">
      <c r="A1" s="19" t="s">
        <v>108</v>
      </c>
      <c r="B1" s="1"/>
      <c r="C1" s="1"/>
      <c r="D1" s="1"/>
      <c r="E1" s="1"/>
      <c r="G1" s="1"/>
      <c r="H1" s="1"/>
    </row>
    <row r="2" spans="1:8" ht="15.75">
      <c r="A2" s="4" t="s">
        <v>97</v>
      </c>
      <c r="B2" s="21" t="s">
        <v>107</v>
      </c>
      <c r="C2" s="21" t="s">
        <v>99</v>
      </c>
      <c r="D2" s="21" t="s">
        <v>98</v>
      </c>
      <c r="E2" s="21" t="s">
        <v>110</v>
      </c>
      <c r="F2" s="21" t="s">
        <v>100</v>
      </c>
      <c r="H2" s="32"/>
    </row>
    <row r="3" spans="1:8" ht="15.75">
      <c r="A3" s="4" t="s">
        <v>101</v>
      </c>
      <c r="B3" s="21">
        <v>1</v>
      </c>
      <c r="C3" s="5">
        <v>1401.68</v>
      </c>
      <c r="D3" s="5">
        <f>C3*0.299</f>
        <v>419.10232</v>
      </c>
      <c r="E3" s="5">
        <f>B3*(C3+D3)</f>
        <v>1820.78232</v>
      </c>
      <c r="F3" s="5">
        <f>B3*12*(C3+D3)</f>
        <v>21849.38784</v>
      </c>
      <c r="H3" s="35"/>
    </row>
    <row r="4" spans="1:8" ht="15.75">
      <c r="A4" s="4" t="s">
        <v>103</v>
      </c>
      <c r="B4" s="21">
        <v>2</v>
      </c>
      <c r="C4" s="5">
        <v>1383.71</v>
      </c>
      <c r="D4" s="5">
        <f aca="true" t="shared" si="0" ref="D4:D8">C4*0.299</f>
        <v>413.72929</v>
      </c>
      <c r="E4" s="5">
        <f aca="true" t="shared" si="1" ref="E4:E8">B4*(C4+D4)</f>
        <v>3594.87858</v>
      </c>
      <c r="F4" s="5">
        <f aca="true" t="shared" si="2" ref="F4:F8">B4*12*(C4+D4)</f>
        <v>43138.54296</v>
      </c>
      <c r="H4" s="35"/>
    </row>
    <row r="5" spans="1:8" ht="15.75">
      <c r="A5" s="4" t="s">
        <v>104</v>
      </c>
      <c r="B5" s="21">
        <v>3</v>
      </c>
      <c r="C5" s="5">
        <v>862.78</v>
      </c>
      <c r="D5" s="5">
        <f t="shared" si="0"/>
        <v>257.97121999999996</v>
      </c>
      <c r="E5" s="5">
        <f t="shared" si="1"/>
        <v>3362.2536599999994</v>
      </c>
      <c r="F5" s="5">
        <f t="shared" si="2"/>
        <v>40347.04392</v>
      </c>
      <c r="H5" s="35"/>
    </row>
    <row r="6" spans="1:8" ht="15.75">
      <c r="A6" s="4" t="s">
        <v>102</v>
      </c>
      <c r="B6" s="21">
        <v>1</v>
      </c>
      <c r="C6" s="5">
        <v>685.77</v>
      </c>
      <c r="D6" s="5">
        <f t="shared" si="0"/>
        <v>205.04522999999998</v>
      </c>
      <c r="E6" s="5">
        <f t="shared" si="1"/>
        <v>890.8152299999999</v>
      </c>
      <c r="F6" s="5">
        <f t="shared" si="2"/>
        <v>10689.782759999998</v>
      </c>
      <c r="H6" s="35"/>
    </row>
    <row r="7" spans="1:8" ht="15.75">
      <c r="A7" s="4" t="s">
        <v>105</v>
      </c>
      <c r="B7" s="21">
        <v>1</v>
      </c>
      <c r="C7" s="5">
        <v>708.3</v>
      </c>
      <c r="D7" s="5">
        <f t="shared" si="0"/>
        <v>211.78169999999997</v>
      </c>
      <c r="E7" s="5">
        <f t="shared" si="1"/>
        <v>920.0817</v>
      </c>
      <c r="F7" s="5">
        <f t="shared" si="2"/>
        <v>11040.9804</v>
      </c>
      <c r="H7" s="35"/>
    </row>
    <row r="8" spans="1:8" ht="15.75">
      <c r="A8" s="4" t="s">
        <v>106</v>
      </c>
      <c r="B8" s="21">
        <v>1</v>
      </c>
      <c r="C8" s="5">
        <v>708.3</v>
      </c>
      <c r="D8" s="5">
        <f t="shared" si="0"/>
        <v>211.78169999999997</v>
      </c>
      <c r="E8" s="5">
        <f t="shared" si="1"/>
        <v>920.0817</v>
      </c>
      <c r="F8" s="5">
        <f t="shared" si="2"/>
        <v>11040.9804</v>
      </c>
      <c r="H8" s="35"/>
    </row>
    <row r="9" spans="1:8" ht="15.75">
      <c r="A9" s="2" t="s">
        <v>109</v>
      </c>
      <c r="B9" s="2">
        <f>SUM(B3:B8)</f>
        <v>9</v>
      </c>
      <c r="C9" s="25">
        <f>C3+C4*$B$4+C5*$B$5+C6+C7+C8</f>
        <v>8859.810000000001</v>
      </c>
      <c r="D9" s="25">
        <f>D3+D4*$B$4+D5*$B$5+D6+D7+D8</f>
        <v>2649.08319</v>
      </c>
      <c r="E9" s="25">
        <f>SUM(E3:E8)</f>
        <v>11508.89319</v>
      </c>
      <c r="F9" s="25">
        <f aca="true" t="shared" si="3" ref="F9">SUM(F3:F8)</f>
        <v>138106.71828</v>
      </c>
      <c r="H9" s="32"/>
    </row>
    <row r="10" spans="3:4" ht="15.75">
      <c r="C10" s="39"/>
      <c r="D10" s="40"/>
    </row>
    <row r="11" spans="2:6" ht="15.75">
      <c r="B11" s="37"/>
      <c r="C11" s="36"/>
      <c r="D11" s="36"/>
      <c r="E11" s="36"/>
      <c r="F11" s="36"/>
    </row>
    <row r="12" spans="1:4" ht="15.75">
      <c r="A12" s="71" t="s">
        <v>111</v>
      </c>
      <c r="B12" s="71"/>
      <c r="C12" s="41">
        <f>12*C9</f>
        <v>106317.72000000002</v>
      </c>
      <c r="D12" s="42"/>
    </row>
    <row r="13" spans="1:4" ht="15.75">
      <c r="A13" s="71" t="s">
        <v>112</v>
      </c>
      <c r="B13" s="71"/>
      <c r="C13" s="41">
        <f>12*D9</f>
        <v>31788.99828</v>
      </c>
      <c r="D13" s="42"/>
    </row>
    <row r="14" spans="1:4" ht="15.75">
      <c r="A14" s="1"/>
      <c r="B14" s="1"/>
      <c r="C14" s="33">
        <f>SUM(C12:C13)</f>
        <v>138106.71828000003</v>
      </c>
      <c r="D14" s="1"/>
    </row>
  </sheetData>
  <mergeCells count="2">
    <mergeCell ref="A12:B12"/>
    <mergeCell ref="A13:B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4" sqref="A14:C14"/>
    </sheetView>
  </sheetViews>
  <sheetFormatPr defaultColWidth="11.421875" defaultRowHeight="15"/>
  <cols>
    <col min="1" max="1" width="34.421875" style="0" customWidth="1"/>
    <col min="2" max="2" width="33.8515625" style="0" customWidth="1"/>
    <col min="3" max="3" width="12.7109375" style="0" customWidth="1"/>
  </cols>
  <sheetData>
    <row r="1" spans="1:4" ht="15.75">
      <c r="A1" s="24" t="s">
        <v>113</v>
      </c>
      <c r="B1" s="24" t="s">
        <v>114</v>
      </c>
      <c r="C1" s="24" t="s">
        <v>100</v>
      </c>
      <c r="D1" s="1"/>
    </row>
    <row r="2" spans="1:4" ht="15.75">
      <c r="A2" s="4" t="s">
        <v>115</v>
      </c>
      <c r="B2" s="4" t="s">
        <v>118</v>
      </c>
      <c r="C2" s="5">
        <v>619.98</v>
      </c>
      <c r="D2" s="1"/>
    </row>
    <row r="3" spans="1:4" ht="15.75">
      <c r="A3" s="4" t="s">
        <v>116</v>
      </c>
      <c r="B3" s="4" t="s">
        <v>117</v>
      </c>
      <c r="C3" s="5">
        <v>4200</v>
      </c>
      <c r="D3" s="1"/>
    </row>
    <row r="4" spans="1:4" ht="15.75">
      <c r="A4" s="4" t="s">
        <v>119</v>
      </c>
      <c r="B4" s="4" t="s">
        <v>120</v>
      </c>
      <c r="C4" s="5">
        <v>1200</v>
      </c>
      <c r="D4" s="1"/>
    </row>
    <row r="5" spans="1:4" ht="15.75">
      <c r="A5" s="4" t="s">
        <v>121</v>
      </c>
      <c r="B5" s="4" t="s">
        <v>122</v>
      </c>
      <c r="C5" s="5">
        <v>42000</v>
      </c>
      <c r="D5" s="1"/>
    </row>
    <row r="6" spans="1:4" ht="15.75">
      <c r="A6" s="4" t="s">
        <v>123</v>
      </c>
      <c r="B6" s="4" t="s">
        <v>124</v>
      </c>
      <c r="C6" s="5">
        <f>30*12</f>
        <v>360</v>
      </c>
      <c r="D6" s="1"/>
    </row>
    <row r="7" spans="1:4" ht="15.75">
      <c r="A7" s="4" t="s">
        <v>125</v>
      </c>
      <c r="B7" s="4" t="s">
        <v>126</v>
      </c>
      <c r="C7" s="5">
        <f>1200*12</f>
        <v>14400</v>
      </c>
      <c r="D7" s="1"/>
    </row>
    <row r="8" spans="1:4" ht="15.75">
      <c r="A8" s="4" t="s">
        <v>127</v>
      </c>
      <c r="B8" s="4" t="s">
        <v>128</v>
      </c>
      <c r="C8" s="5">
        <v>1200</v>
      </c>
      <c r="D8" s="1"/>
    </row>
    <row r="9" spans="1:4" ht="15.75">
      <c r="A9" s="4" t="s">
        <v>129</v>
      </c>
      <c r="B9" s="4" t="s">
        <v>130</v>
      </c>
      <c r="C9" s="5">
        <v>3000</v>
      </c>
      <c r="D9" s="1"/>
    </row>
    <row r="10" spans="1:4" ht="15.75">
      <c r="A10" s="4" t="s">
        <v>131</v>
      </c>
      <c r="B10" s="4" t="s">
        <v>132</v>
      </c>
      <c r="C10" s="5">
        <v>1000</v>
      </c>
      <c r="D10" s="1"/>
    </row>
    <row r="11" spans="1:4" ht="15.75">
      <c r="A11" s="4" t="s">
        <v>133</v>
      </c>
      <c r="B11" s="4" t="s">
        <v>134</v>
      </c>
      <c r="C11" s="5">
        <v>200</v>
      </c>
      <c r="D11" s="1"/>
    </row>
    <row r="12" spans="1:4" ht="15.75">
      <c r="A12" s="66" t="s">
        <v>135</v>
      </c>
      <c r="B12" s="66"/>
      <c r="C12" s="10">
        <f>SUM(C2:C11)</f>
        <v>68179.98</v>
      </c>
      <c r="D12" s="1"/>
    </row>
    <row r="13" spans="1:4" ht="15.75">
      <c r="A13" s="1"/>
      <c r="B13" s="1"/>
      <c r="C13" s="34"/>
      <c r="D13" s="1"/>
    </row>
    <row r="14" spans="1:4" ht="15.75">
      <c r="A14" s="57" t="s">
        <v>186</v>
      </c>
      <c r="B14" s="58" t="s">
        <v>187</v>
      </c>
      <c r="C14" s="5">
        <f>1600*12</f>
        <v>19200</v>
      </c>
      <c r="D14" s="1"/>
    </row>
    <row r="15" spans="1:4" ht="15.75">
      <c r="A15" s="1"/>
      <c r="B15" s="1"/>
      <c r="C15" s="34"/>
      <c r="D15" s="1"/>
    </row>
    <row r="16" spans="1:4" ht="15.75">
      <c r="A16" s="1"/>
      <c r="B16" s="1"/>
      <c r="C16" s="34"/>
      <c r="D16" s="1"/>
    </row>
    <row r="17" spans="1:4" ht="15.75">
      <c r="A17" s="1"/>
      <c r="B17" s="1"/>
      <c r="C17" s="34"/>
      <c r="D17" s="1"/>
    </row>
    <row r="18" spans="1:4" ht="15.75">
      <c r="A18" s="1"/>
      <c r="B18" s="1"/>
      <c r="C18" s="1"/>
      <c r="D18" s="1"/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4" ht="15.75">
      <c r="A21" s="1"/>
      <c r="B21" s="1"/>
      <c r="C21" s="1"/>
      <c r="D21" s="1"/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4" ht="15.75">
      <c r="A24" s="1"/>
      <c r="B24" s="1"/>
      <c r="C24" s="1"/>
      <c r="D24" s="1"/>
    </row>
    <row r="25" spans="1:4" ht="15.75">
      <c r="A25" s="1"/>
      <c r="B25" s="1"/>
      <c r="C25" s="1"/>
      <c r="D25" s="1"/>
    </row>
    <row r="26" spans="1:4" ht="15.75">
      <c r="A26" s="1"/>
      <c r="B26" s="1"/>
      <c r="C26" s="1"/>
      <c r="D26" s="1"/>
    </row>
    <row r="27" spans="1:4" ht="15.75">
      <c r="A27" s="1"/>
      <c r="B27" s="1"/>
      <c r="C27" s="1"/>
      <c r="D27" s="1"/>
    </row>
    <row r="28" spans="1:4" ht="15.75">
      <c r="A28" s="1"/>
      <c r="B28" s="1"/>
      <c r="C28" s="1"/>
      <c r="D28" s="1"/>
    </row>
    <row r="29" spans="1:4" ht="15.75">
      <c r="A29" s="1"/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1"/>
    </row>
    <row r="32" spans="1:4" ht="15.75">
      <c r="A32" s="1"/>
      <c r="B32" s="1"/>
      <c r="C32" s="1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  <row r="40" spans="1:4" ht="15.75">
      <c r="A40" s="1"/>
      <c r="B40" s="1"/>
      <c r="C40" s="1"/>
      <c r="D40" s="1"/>
    </row>
    <row r="41" spans="1:4" ht="15.75">
      <c r="A41" s="1"/>
      <c r="B41" s="1"/>
      <c r="C41" s="1"/>
      <c r="D41" s="1"/>
    </row>
    <row r="42" spans="1:4" ht="15.75">
      <c r="A42" s="1"/>
      <c r="B42" s="1"/>
      <c r="C42" s="1"/>
      <c r="D42" s="1"/>
    </row>
    <row r="43" spans="1:4" ht="15.75">
      <c r="A43" s="1"/>
      <c r="B43" s="1"/>
      <c r="C43" s="1"/>
      <c r="D43" s="1"/>
    </row>
    <row r="44" spans="1:4" ht="15.75">
      <c r="A44" s="1"/>
      <c r="B44" s="1"/>
      <c r="C44" s="1"/>
      <c r="D44" s="1"/>
    </row>
    <row r="45" spans="1:4" ht="15.75">
      <c r="A45" s="1"/>
      <c r="B45" s="1"/>
      <c r="C45" s="1"/>
      <c r="D45" s="1"/>
    </row>
    <row r="46" spans="1:4" ht="15.75">
      <c r="A46" s="1"/>
      <c r="B46" s="1"/>
      <c r="C46" s="1"/>
      <c r="D46" s="1"/>
    </row>
    <row r="47" spans="1:4" ht="15.75">
      <c r="A47" s="1"/>
      <c r="B47" s="1"/>
      <c r="C47" s="1"/>
      <c r="D47" s="1"/>
    </row>
    <row r="48" spans="1:4" ht="15.75">
      <c r="A48" s="1"/>
      <c r="B48" s="1"/>
      <c r="C48" s="1"/>
      <c r="D48" s="1"/>
    </row>
    <row r="49" spans="1:4" ht="15.75">
      <c r="A49" s="1"/>
      <c r="B49" s="1"/>
      <c r="C49" s="1"/>
      <c r="D49" s="1"/>
    </row>
    <row r="50" spans="1:4" ht="15.75">
      <c r="A50" s="1"/>
      <c r="B50" s="1"/>
      <c r="C50" s="1"/>
      <c r="D50" s="1"/>
    </row>
    <row r="51" spans="1:4" ht="15.75">
      <c r="A51" s="1"/>
      <c r="B51" s="1"/>
      <c r="C51" s="1"/>
      <c r="D51" s="1"/>
    </row>
    <row r="52" spans="1:4" ht="15.75">
      <c r="A52" s="1"/>
      <c r="B52" s="1"/>
      <c r="C52" s="1"/>
      <c r="D52" s="1"/>
    </row>
    <row r="53" spans="1:4" ht="15.75">
      <c r="A53" s="1"/>
      <c r="B53" s="1"/>
      <c r="C53" s="1"/>
      <c r="D53" s="1"/>
    </row>
    <row r="54" spans="1:4" ht="15.75">
      <c r="A54" s="1"/>
      <c r="B54" s="1"/>
      <c r="C54" s="1"/>
      <c r="D54" s="1"/>
    </row>
    <row r="55" spans="1:4" ht="15.75">
      <c r="A55" s="1"/>
      <c r="B55" s="1"/>
      <c r="C55" s="1"/>
      <c r="D55" s="1"/>
    </row>
    <row r="56" spans="1:4" ht="15.75">
      <c r="A56" s="1"/>
      <c r="B56" s="1"/>
      <c r="C56" s="1"/>
      <c r="D56" s="1"/>
    </row>
    <row r="57" spans="1:4" ht="15.75">
      <c r="A57" s="1"/>
      <c r="B57" s="1"/>
      <c r="C57" s="1"/>
      <c r="D57" s="1"/>
    </row>
    <row r="58" spans="1:4" ht="15.75">
      <c r="A58" s="1"/>
      <c r="B58" s="1"/>
      <c r="C58" s="1"/>
      <c r="D58" s="1"/>
    </row>
    <row r="59" spans="1:4" ht="15.75">
      <c r="A59" s="1"/>
      <c r="B59" s="1"/>
      <c r="C59" s="1"/>
      <c r="D59" s="1"/>
    </row>
    <row r="60" spans="1:4" ht="15.75">
      <c r="A60" s="1"/>
      <c r="B60" s="1"/>
      <c r="C60" s="1"/>
      <c r="D60" s="1"/>
    </row>
    <row r="61" spans="1:4" ht="15.75">
      <c r="A61" s="1"/>
      <c r="B61" s="1"/>
      <c r="C61" s="1"/>
      <c r="D61" s="1"/>
    </row>
    <row r="62" spans="1:4" ht="15.75">
      <c r="A62" s="1"/>
      <c r="B62" s="1"/>
      <c r="C62" s="1"/>
      <c r="D62" s="1"/>
    </row>
    <row r="63" spans="1:4" ht="15.75">
      <c r="A63" s="1"/>
      <c r="B63" s="1"/>
      <c r="C63" s="1"/>
      <c r="D63" s="1"/>
    </row>
    <row r="64" spans="1:4" ht="15.75">
      <c r="A64" s="1"/>
      <c r="B64" s="1"/>
      <c r="C64" s="1"/>
      <c r="D64" s="1"/>
    </row>
    <row r="65" spans="1:4" ht="15.75">
      <c r="A65" s="1"/>
      <c r="B65" s="1"/>
      <c r="C65" s="1"/>
      <c r="D65" s="1"/>
    </row>
  </sheetData>
  <mergeCells count="1"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49"/>
  <sheetViews>
    <sheetView workbookViewId="0" topLeftCell="A1">
      <selection activeCell="H21" sqref="H21"/>
    </sheetView>
  </sheetViews>
  <sheetFormatPr defaultColWidth="11.421875" defaultRowHeight="15"/>
  <cols>
    <col min="1" max="1" width="15.57421875" style="0" customWidth="1"/>
    <col min="2" max="2" width="13.140625" style="0" customWidth="1"/>
    <col min="3" max="3" width="13.7109375" style="0" customWidth="1"/>
    <col min="5" max="5" width="18.8515625" style="0" customWidth="1"/>
    <col min="6" max="6" width="14.57421875" style="0" customWidth="1"/>
    <col min="7" max="7" width="14.28125" style="0" customWidth="1"/>
  </cols>
  <sheetData>
    <row r="2" spans="1:5" ht="15.75">
      <c r="A2" s="4" t="s">
        <v>136</v>
      </c>
      <c r="B2" s="38">
        <v>70000</v>
      </c>
      <c r="C2" s="1"/>
      <c r="D2" s="1"/>
      <c r="E2" s="1"/>
    </row>
    <row r="3" spans="1:5" ht="15.75">
      <c r="A3" s="4" t="s">
        <v>137</v>
      </c>
      <c r="B3" s="43">
        <v>0.055</v>
      </c>
      <c r="C3" s="1">
        <f>B3/12</f>
        <v>0.004583333333333333</v>
      </c>
      <c r="D3" s="1"/>
      <c r="E3" s="1"/>
    </row>
    <row r="4" spans="1:5" ht="15.75">
      <c r="A4" s="4" t="s">
        <v>138</v>
      </c>
      <c r="B4" s="43">
        <v>0.005</v>
      </c>
      <c r="C4" s="1" t="s">
        <v>146</v>
      </c>
      <c r="D4" s="1">
        <f>B2*B4</f>
        <v>350</v>
      </c>
      <c r="E4" s="1"/>
    </row>
    <row r="5" spans="1:5" ht="15.75">
      <c r="A5" s="4" t="s">
        <v>139</v>
      </c>
      <c r="B5" s="4">
        <f>5*12</f>
        <v>60</v>
      </c>
      <c r="C5" s="1"/>
      <c r="D5" s="1"/>
      <c r="E5" s="1"/>
    </row>
    <row r="6" spans="1:5" ht="15.75">
      <c r="A6" s="1" t="s">
        <v>140</v>
      </c>
      <c r="B6" s="1"/>
      <c r="C6" s="1"/>
      <c r="D6" s="1"/>
      <c r="E6" s="1"/>
    </row>
    <row r="8" spans="1:8" ht="15.75">
      <c r="A8" s="12" t="s">
        <v>141</v>
      </c>
      <c r="B8" s="12" t="s">
        <v>142</v>
      </c>
      <c r="C8" s="12" t="s">
        <v>147</v>
      </c>
      <c r="D8" s="12" t="s">
        <v>143</v>
      </c>
      <c r="E8" s="12" t="s">
        <v>145</v>
      </c>
      <c r="F8" s="12" t="s">
        <v>144</v>
      </c>
      <c r="G8" s="1"/>
      <c r="H8" s="1"/>
    </row>
    <row r="9" spans="1:8" ht="15.75">
      <c r="A9" s="1">
        <v>0</v>
      </c>
      <c r="B9" s="33"/>
      <c r="C9" s="33"/>
      <c r="D9" s="33"/>
      <c r="E9" s="33">
        <f>B2</f>
        <v>70000</v>
      </c>
      <c r="F9" s="33">
        <f>B2-D4</f>
        <v>69650</v>
      </c>
      <c r="G9" s="1"/>
      <c r="H9" s="1"/>
    </row>
    <row r="10" spans="1:8" ht="15.75">
      <c r="A10" s="1">
        <v>1</v>
      </c>
      <c r="B10" s="33">
        <f>C10+D10</f>
        <v>1487.5</v>
      </c>
      <c r="C10" s="44">
        <f>IPMT($C$3,A10,$B$5,-E9)</f>
        <v>320.8333333333333</v>
      </c>
      <c r="D10" s="33">
        <f>$B$2/$B$5</f>
        <v>1166.6666666666667</v>
      </c>
      <c r="E10" s="33">
        <f>E9-D10</f>
        <v>68833.33333333333</v>
      </c>
      <c r="F10" s="33">
        <f>-B10</f>
        <v>-1487.5</v>
      </c>
      <c r="G10" s="1"/>
      <c r="H10" s="1"/>
    </row>
    <row r="11" spans="1:8" ht="15.75">
      <c r="A11" s="1">
        <v>2</v>
      </c>
      <c r="B11" s="33">
        <f aca="true" t="shared" si="0" ref="B11:B69">C11+D11</f>
        <v>1477.5726044157586</v>
      </c>
      <c r="C11" s="44">
        <f aca="true" t="shared" si="1" ref="C11:C69">IPMT($C$3,A11,$B$5,-E10)</f>
        <v>310.905937749092</v>
      </c>
      <c r="D11" s="33">
        <f aca="true" t="shared" si="2" ref="D11:D69">$B$2/$B$5</f>
        <v>1166.6666666666667</v>
      </c>
      <c r="E11" s="33">
        <f aca="true" t="shared" si="3" ref="E11:E69">E10-D11</f>
        <v>67666.66666666666</v>
      </c>
      <c r="F11" s="33">
        <f aca="true" t="shared" si="4" ref="F11:F70">-B11</f>
        <v>-1477.5726044157586</v>
      </c>
      <c r="G11" s="1"/>
      <c r="H11" s="1"/>
    </row>
    <row r="12" spans="1:8" ht="15.75">
      <c r="A12" s="1">
        <v>3</v>
      </c>
      <c r="B12" s="33">
        <f t="shared" si="0"/>
        <v>1467.7798322886695</v>
      </c>
      <c r="C12" s="44">
        <f t="shared" si="1"/>
        <v>301.1131656220028</v>
      </c>
      <c r="D12" s="33">
        <f t="shared" si="2"/>
        <v>1166.6666666666667</v>
      </c>
      <c r="E12" s="33">
        <f t="shared" si="3"/>
        <v>66499.99999999999</v>
      </c>
      <c r="F12" s="33">
        <f t="shared" si="4"/>
        <v>-1467.7798322886695</v>
      </c>
      <c r="G12" s="1"/>
      <c r="H12" s="1"/>
    </row>
    <row r="13" spans="1:8" ht="15.75">
      <c r="A13" s="1">
        <v>4</v>
      </c>
      <c r="B13" s="33">
        <f t="shared" si="0"/>
        <v>1458.122658078109</v>
      </c>
      <c r="C13" s="44">
        <f t="shared" si="1"/>
        <v>291.45599141144237</v>
      </c>
      <c r="D13" s="33">
        <f t="shared" si="2"/>
        <v>1166.6666666666667</v>
      </c>
      <c r="E13" s="33">
        <f t="shared" si="3"/>
        <v>65333.33333333332</v>
      </c>
      <c r="F13" s="33">
        <f t="shared" si="4"/>
        <v>-1458.122658078109</v>
      </c>
      <c r="G13" s="1"/>
      <c r="H13" s="1"/>
    </row>
    <row r="14" spans="1:8" ht="15.75">
      <c r="A14" s="1">
        <v>5</v>
      </c>
      <c r="B14" s="33">
        <f t="shared" si="0"/>
        <v>1448.602062347971</v>
      </c>
      <c r="C14" s="44">
        <f t="shared" si="1"/>
        <v>281.93539568130427</v>
      </c>
      <c r="D14" s="33">
        <f t="shared" si="2"/>
        <v>1166.6666666666667</v>
      </c>
      <c r="E14" s="33">
        <f t="shared" si="3"/>
        <v>64166.66666666666</v>
      </c>
      <c r="F14" s="33">
        <f t="shared" si="4"/>
        <v>-1448.602062347971</v>
      </c>
      <c r="G14" s="1"/>
      <c r="H14" s="1"/>
    </row>
    <row r="15" spans="1:8" ht="15.75">
      <c r="A15" s="1">
        <v>6</v>
      </c>
      <c r="B15" s="33">
        <f t="shared" si="0"/>
        <v>1439.219031802153</v>
      </c>
      <c r="C15" s="44">
        <f t="shared" si="1"/>
        <v>272.5523651354863</v>
      </c>
      <c r="D15" s="33">
        <f t="shared" si="2"/>
        <v>1166.6666666666667</v>
      </c>
      <c r="E15" s="33">
        <f t="shared" si="3"/>
        <v>62999.99999999999</v>
      </c>
      <c r="F15" s="33">
        <f t="shared" si="4"/>
        <v>-1439.219031802153</v>
      </c>
      <c r="G15" s="1"/>
      <c r="H15" s="1"/>
    </row>
    <row r="16" spans="1:8" ht="15.75">
      <c r="A16" s="1">
        <v>7</v>
      </c>
      <c r="B16" s="33">
        <f t="shared" si="0"/>
        <v>1429.9745593202426</v>
      </c>
      <c r="C16" s="44">
        <f t="shared" si="1"/>
        <v>263.30789265357595</v>
      </c>
      <c r="D16" s="33">
        <f t="shared" si="2"/>
        <v>1166.6666666666667</v>
      </c>
      <c r="E16" s="33">
        <f t="shared" si="3"/>
        <v>61833.33333333333</v>
      </c>
      <c r="F16" s="33">
        <f t="shared" si="4"/>
        <v>-1429.9745593202426</v>
      </c>
      <c r="G16" s="1"/>
      <c r="H16" s="1"/>
    </row>
    <row r="17" spans="1:8" ht="15.75">
      <c r="A17" s="1">
        <v>8</v>
      </c>
      <c r="B17" s="33">
        <f t="shared" si="0"/>
        <v>1420.8696439933992</v>
      </c>
      <c r="C17" s="44">
        <f t="shared" si="1"/>
        <v>254.20297732673242</v>
      </c>
      <c r="D17" s="33">
        <f t="shared" si="2"/>
        <v>1166.6666666666667</v>
      </c>
      <c r="E17" s="33">
        <f t="shared" si="3"/>
        <v>60666.666666666664</v>
      </c>
      <c r="F17" s="33">
        <f t="shared" si="4"/>
        <v>-1420.8696439933992</v>
      </c>
      <c r="G17" s="1"/>
      <c r="H17" s="1"/>
    </row>
    <row r="18" spans="1:8" ht="15.75">
      <c r="A18" s="1">
        <v>9</v>
      </c>
      <c r="B18" s="33">
        <f t="shared" si="0"/>
        <v>1411.9052911604356</v>
      </c>
      <c r="C18" s="44">
        <f t="shared" si="1"/>
        <v>245.23862449376878</v>
      </c>
      <c r="D18" s="33">
        <f t="shared" si="2"/>
        <v>1166.6666666666667</v>
      </c>
      <c r="E18" s="33">
        <f t="shared" si="3"/>
        <v>59500</v>
      </c>
      <c r="F18" s="33">
        <f t="shared" si="4"/>
        <v>-1411.9052911604356</v>
      </c>
      <c r="G18" s="1"/>
      <c r="H18" s="1"/>
    </row>
    <row r="19" spans="1:8" ht="15.75">
      <c r="A19" s="1">
        <v>10</v>
      </c>
      <c r="B19" s="33">
        <f t="shared" si="0"/>
        <v>1403.0825124441017</v>
      </c>
      <c r="C19" s="44">
        <f t="shared" si="1"/>
        <v>236.4158457774348</v>
      </c>
      <c r="D19" s="33">
        <f t="shared" si="2"/>
        <v>1166.6666666666667</v>
      </c>
      <c r="E19" s="33">
        <f t="shared" si="3"/>
        <v>58333.333333333336</v>
      </c>
      <c r="F19" s="33">
        <f t="shared" si="4"/>
        <v>-1403.0825124441017</v>
      </c>
      <c r="G19" s="1"/>
      <c r="H19" s="1"/>
    </row>
    <row r="20" spans="1:8" ht="15.75">
      <c r="A20" s="1">
        <v>11</v>
      </c>
      <c r="B20" s="33">
        <f t="shared" si="0"/>
        <v>1394.402325787567</v>
      </c>
      <c r="C20" s="44">
        <f t="shared" si="1"/>
        <v>227.7356591209002</v>
      </c>
      <c r="D20" s="33">
        <f t="shared" si="2"/>
        <v>1166.6666666666667</v>
      </c>
      <c r="E20" s="33">
        <f t="shared" si="3"/>
        <v>57166.66666666667</v>
      </c>
      <c r="F20" s="33">
        <f t="shared" si="4"/>
        <v>-1394.402325787567</v>
      </c>
      <c r="G20" s="1"/>
      <c r="H20" s="1"/>
    </row>
    <row r="21" spans="1:8" ht="15.75">
      <c r="A21" s="1">
        <v>12</v>
      </c>
      <c r="B21" s="33">
        <f t="shared" si="0"/>
        <v>1385.8657554911076</v>
      </c>
      <c r="C21" s="44">
        <f t="shared" si="1"/>
        <v>219.19908882444096</v>
      </c>
      <c r="D21" s="33">
        <f t="shared" si="2"/>
        <v>1166.6666666666667</v>
      </c>
      <c r="E21" s="33">
        <f t="shared" si="3"/>
        <v>56000.00000000001</v>
      </c>
      <c r="F21" s="33">
        <f t="shared" si="4"/>
        <v>-1385.8657554911076</v>
      </c>
      <c r="G21" s="45" t="s">
        <v>148</v>
      </c>
      <c r="H21" s="46">
        <f>SUM(B10:B21)</f>
        <v>17224.896277129516</v>
      </c>
    </row>
    <row r="22" spans="1:8" ht="15.75">
      <c r="A22" s="1">
        <v>13</v>
      </c>
      <c r="B22" s="33">
        <f t="shared" si="0"/>
        <v>1377.4738322489952</v>
      </c>
      <c r="C22" s="44">
        <f t="shared" si="1"/>
        <v>210.8071655823286</v>
      </c>
      <c r="D22" s="33">
        <f t="shared" si="2"/>
        <v>1166.6666666666667</v>
      </c>
      <c r="E22" s="33">
        <f t="shared" si="3"/>
        <v>54833.33333333334</v>
      </c>
      <c r="F22" s="33">
        <f t="shared" si="4"/>
        <v>-1377.4738322489952</v>
      </c>
      <c r="G22" s="1"/>
      <c r="H22" s="1"/>
    </row>
    <row r="23" spans="1:8" ht="15.75">
      <c r="A23" s="1">
        <v>14</v>
      </c>
      <c r="B23" s="33">
        <f t="shared" si="0"/>
        <v>1369.227593186591</v>
      </c>
      <c r="C23" s="44">
        <f t="shared" si="1"/>
        <v>202.56092651992435</v>
      </c>
      <c r="D23" s="33">
        <f t="shared" si="2"/>
        <v>1166.6666666666667</v>
      </c>
      <c r="E23" s="33">
        <f t="shared" si="3"/>
        <v>53666.66666666668</v>
      </c>
      <c r="F23" s="33">
        <f t="shared" si="4"/>
        <v>-1369.227593186591</v>
      </c>
      <c r="G23" s="1"/>
      <c r="H23" s="1"/>
    </row>
    <row r="24" spans="1:6" ht="15.75">
      <c r="A24" s="1">
        <v>15</v>
      </c>
      <c r="B24" s="33">
        <f t="shared" si="0"/>
        <v>1361.1280818976466</v>
      </c>
      <c r="C24" s="44">
        <f t="shared" si="1"/>
        <v>194.46141523097972</v>
      </c>
      <c r="D24" s="33">
        <f t="shared" si="2"/>
        <v>1166.6666666666667</v>
      </c>
      <c r="E24" s="33">
        <f t="shared" si="3"/>
        <v>52500.000000000015</v>
      </c>
      <c r="F24" s="33">
        <f t="shared" si="4"/>
        <v>-1361.1280818976466</v>
      </c>
    </row>
    <row r="25" spans="1:6" ht="15.75">
      <c r="A25" s="1">
        <v>16</v>
      </c>
      <c r="B25" s="33">
        <f t="shared" si="0"/>
        <v>1353.1763484818096</v>
      </c>
      <c r="C25" s="44">
        <f t="shared" si="1"/>
        <v>186.50968181514273</v>
      </c>
      <c r="D25" s="33">
        <f t="shared" si="2"/>
        <v>1166.6666666666667</v>
      </c>
      <c r="E25" s="33">
        <f t="shared" si="3"/>
        <v>51333.33333333335</v>
      </c>
      <c r="F25" s="33">
        <f t="shared" si="4"/>
        <v>-1353.1763484818096</v>
      </c>
    </row>
    <row r="26" spans="1:6" ht="15.75">
      <c r="A26" s="1">
        <v>17</v>
      </c>
      <c r="B26" s="33">
        <f t="shared" si="0"/>
        <v>1345.3734495823392</v>
      </c>
      <c r="C26" s="44">
        <f t="shared" si="1"/>
        <v>178.7067829156723</v>
      </c>
      <c r="D26" s="33">
        <f t="shared" si="2"/>
        <v>1166.6666666666667</v>
      </c>
      <c r="E26" s="33">
        <f t="shared" si="3"/>
        <v>50166.666666666686</v>
      </c>
      <c r="F26" s="33">
        <f t="shared" si="4"/>
        <v>-1345.3734495823392</v>
      </c>
    </row>
    <row r="27" spans="1:6" ht="15.75">
      <c r="A27" s="1">
        <v>18</v>
      </c>
      <c r="B27" s="33">
        <f t="shared" si="0"/>
        <v>1337.7204484240294</v>
      </c>
      <c r="C27" s="44">
        <f t="shared" si="1"/>
        <v>171.0537817573627</v>
      </c>
      <c r="D27" s="33">
        <f t="shared" si="2"/>
        <v>1166.6666666666667</v>
      </c>
      <c r="E27" s="33">
        <f t="shared" si="3"/>
        <v>49000.00000000002</v>
      </c>
      <c r="F27" s="33">
        <f t="shared" si="4"/>
        <v>-1337.7204484240294</v>
      </c>
    </row>
    <row r="28" spans="1:6" ht="15.75">
      <c r="A28" s="1">
        <v>19</v>
      </c>
      <c r="B28" s="33">
        <f t="shared" si="0"/>
        <v>1330.2184148513438</v>
      </c>
      <c r="C28" s="44">
        <f t="shared" si="1"/>
        <v>163.551748184677</v>
      </c>
      <c r="D28" s="33">
        <f t="shared" si="2"/>
        <v>1166.6666666666667</v>
      </c>
      <c r="E28" s="33">
        <f t="shared" si="3"/>
        <v>47833.33333333336</v>
      </c>
      <c r="F28" s="33">
        <f t="shared" si="4"/>
        <v>-1330.2184148513438</v>
      </c>
    </row>
    <row r="29" spans="1:6" ht="15.75">
      <c r="A29" s="1">
        <v>20</v>
      </c>
      <c r="B29" s="33">
        <f t="shared" si="0"/>
        <v>1322.868425366759</v>
      </c>
      <c r="C29" s="44">
        <f t="shared" si="1"/>
        <v>156.2017587000923</v>
      </c>
      <c r="D29" s="33">
        <f t="shared" si="2"/>
        <v>1166.6666666666667</v>
      </c>
      <c r="E29" s="33">
        <f t="shared" si="3"/>
        <v>46666.66666666669</v>
      </c>
      <c r="F29" s="33">
        <f t="shared" si="4"/>
        <v>-1322.868425366759</v>
      </c>
    </row>
    <row r="30" spans="1:6" ht="15.75">
      <c r="A30" s="1">
        <v>21</v>
      </c>
      <c r="B30" s="33">
        <f t="shared" si="0"/>
        <v>1315.6715631693237</v>
      </c>
      <c r="C30" s="44">
        <f t="shared" si="1"/>
        <v>149.00489650265706</v>
      </c>
      <c r="D30" s="33">
        <f t="shared" si="2"/>
        <v>1166.6666666666667</v>
      </c>
      <c r="E30" s="33">
        <f t="shared" si="3"/>
        <v>45500.00000000003</v>
      </c>
      <c r="F30" s="33">
        <f t="shared" si="4"/>
        <v>-1315.6715631693237</v>
      </c>
    </row>
    <row r="31" spans="1:6" ht="15.75">
      <c r="A31" s="1">
        <v>22</v>
      </c>
      <c r="B31" s="33">
        <f t="shared" si="0"/>
        <v>1308.6289181934299</v>
      </c>
      <c r="C31" s="44">
        <f t="shared" si="1"/>
        <v>141.96225152676308</v>
      </c>
      <c r="D31" s="33">
        <f t="shared" si="2"/>
        <v>1166.6666666666667</v>
      </c>
      <c r="E31" s="33">
        <f t="shared" si="3"/>
        <v>44333.333333333365</v>
      </c>
      <c r="F31" s="33">
        <f t="shared" si="4"/>
        <v>-1308.6289181934299</v>
      </c>
    </row>
    <row r="32" spans="1:6" ht="15.75">
      <c r="A32" s="1">
        <v>23</v>
      </c>
      <c r="B32" s="33">
        <f t="shared" si="0"/>
        <v>1301.7415871477976</v>
      </c>
      <c r="C32" s="44">
        <f t="shared" si="1"/>
        <v>135.07492048113085</v>
      </c>
      <c r="D32" s="33">
        <f t="shared" si="2"/>
        <v>1166.6666666666667</v>
      </c>
      <c r="E32" s="33">
        <f t="shared" si="3"/>
        <v>43166.6666666667</v>
      </c>
      <c r="F32" s="33">
        <f t="shared" si="4"/>
        <v>-1301.7415871477976</v>
      </c>
    </row>
    <row r="33" spans="1:6" ht="15.75">
      <c r="A33" s="1">
        <v>24</v>
      </c>
      <c r="B33" s="33">
        <f t="shared" si="0"/>
        <v>1295.0106735546785</v>
      </c>
      <c r="C33" s="44">
        <f t="shared" si="1"/>
        <v>128.3440068880117</v>
      </c>
      <c r="D33" s="33">
        <f t="shared" si="2"/>
        <v>1166.6666666666667</v>
      </c>
      <c r="E33" s="33">
        <f t="shared" si="3"/>
        <v>42000.00000000004</v>
      </c>
      <c r="F33" s="33">
        <f t="shared" si="4"/>
        <v>-1295.0106735546785</v>
      </c>
    </row>
    <row r="34" spans="1:6" ht="15.75">
      <c r="A34" s="1">
        <v>25</v>
      </c>
      <c r="B34" s="33">
        <f t="shared" si="0"/>
        <v>1288.437287789273</v>
      </c>
      <c r="C34" s="44">
        <f t="shared" si="1"/>
        <v>121.77062112260606</v>
      </c>
      <c r="D34" s="33">
        <f t="shared" si="2"/>
        <v>1166.6666666666667</v>
      </c>
      <c r="E34" s="33">
        <f t="shared" si="3"/>
        <v>40833.33333333337</v>
      </c>
      <c r="F34" s="33">
        <f t="shared" si="4"/>
        <v>-1288.437287789273</v>
      </c>
    </row>
    <row r="35" spans="1:6" ht="15.75">
      <c r="A35" s="1">
        <v>26</v>
      </c>
      <c r="B35" s="33">
        <f t="shared" si="0"/>
        <v>1282.022547119368</v>
      </c>
      <c r="C35" s="44">
        <f t="shared" si="1"/>
        <v>115.35588045270138</v>
      </c>
      <c r="D35" s="33">
        <f t="shared" si="2"/>
        <v>1166.6666666666667</v>
      </c>
      <c r="E35" s="33">
        <f t="shared" si="3"/>
        <v>39666.66666666671</v>
      </c>
      <c r="F35" s="33">
        <f t="shared" si="4"/>
        <v>-1282.022547119368</v>
      </c>
    </row>
    <row r="36" spans="1:6" ht="15.75">
      <c r="A36" s="1">
        <v>27</v>
      </c>
      <c r="B36" s="33">
        <f t="shared" si="0"/>
        <v>1275.7675757451946</v>
      </c>
      <c r="C36" s="44">
        <f t="shared" si="1"/>
        <v>109.10090907852788</v>
      </c>
      <c r="D36" s="33">
        <f t="shared" si="2"/>
        <v>1166.6666666666667</v>
      </c>
      <c r="E36" s="33">
        <f t="shared" si="3"/>
        <v>38500.000000000044</v>
      </c>
      <c r="F36" s="33">
        <f t="shared" si="4"/>
        <v>-1275.7675757451946</v>
      </c>
    </row>
    <row r="37" spans="1:6" ht="15.75">
      <c r="A37" s="1">
        <v>28</v>
      </c>
      <c r="B37" s="33">
        <f t="shared" si="0"/>
        <v>1269.6735048395028</v>
      </c>
      <c r="C37" s="44">
        <f t="shared" si="1"/>
        <v>103.00683817283605</v>
      </c>
      <c r="D37" s="33">
        <f t="shared" si="2"/>
        <v>1166.6666666666667</v>
      </c>
      <c r="E37" s="33">
        <f t="shared" si="3"/>
        <v>37333.33333333338</v>
      </c>
      <c r="F37" s="33">
        <f t="shared" si="4"/>
        <v>-1269.6735048395028</v>
      </c>
    </row>
    <row r="38" spans="1:6" ht="15.75">
      <c r="A38" s="1">
        <v>29</v>
      </c>
      <c r="B38" s="33">
        <f t="shared" si="0"/>
        <v>1263.7414725878618</v>
      </c>
      <c r="C38" s="44">
        <f t="shared" si="1"/>
        <v>97.07480592119518</v>
      </c>
      <c r="D38" s="33">
        <f t="shared" si="2"/>
        <v>1166.6666666666667</v>
      </c>
      <c r="E38" s="33">
        <f t="shared" si="3"/>
        <v>36166.666666666715</v>
      </c>
      <c r="F38" s="33">
        <f t="shared" si="4"/>
        <v>-1263.7414725878618</v>
      </c>
    </row>
    <row r="39" spans="1:6" ht="15.75">
      <c r="A39" s="1">
        <v>30</v>
      </c>
      <c r="B39" s="33">
        <f t="shared" si="0"/>
        <v>1257.9726242291815</v>
      </c>
      <c r="C39" s="44">
        <f t="shared" si="1"/>
        <v>91.30595756251483</v>
      </c>
      <c r="D39" s="33">
        <f t="shared" si="2"/>
        <v>1166.6666666666667</v>
      </c>
      <c r="E39" s="33">
        <f t="shared" si="3"/>
        <v>35000.00000000005</v>
      </c>
      <c r="F39" s="33">
        <f t="shared" si="4"/>
        <v>-1257.9726242291815</v>
      </c>
    </row>
    <row r="40" spans="1:6" ht="15.75">
      <c r="A40" s="1">
        <v>31</v>
      </c>
      <c r="B40" s="33">
        <f t="shared" si="0"/>
        <v>1252.3681120964582</v>
      </c>
      <c r="C40" s="44">
        <f t="shared" si="1"/>
        <v>85.70144542979142</v>
      </c>
      <c r="D40" s="33">
        <f t="shared" si="2"/>
        <v>1166.6666666666667</v>
      </c>
      <c r="E40" s="33">
        <f t="shared" si="3"/>
        <v>33833.33333333339</v>
      </c>
      <c r="F40" s="33">
        <f t="shared" si="4"/>
        <v>-1252.3681120964582</v>
      </c>
    </row>
    <row r="41" spans="1:6" ht="15.75">
      <c r="A41" s="1">
        <v>32</v>
      </c>
      <c r="B41" s="33">
        <f t="shared" si="0"/>
        <v>1246.9290956577452</v>
      </c>
      <c r="C41" s="44">
        <f t="shared" si="1"/>
        <v>80.26242899107831</v>
      </c>
      <c r="D41" s="33">
        <f t="shared" si="2"/>
        <v>1166.6666666666667</v>
      </c>
      <c r="E41" s="33">
        <f t="shared" si="3"/>
        <v>32666.66666666672</v>
      </c>
      <c r="F41" s="33">
        <f t="shared" si="4"/>
        <v>-1246.9290956577452</v>
      </c>
    </row>
    <row r="42" spans="1:6" ht="15.75">
      <c r="A42" s="1">
        <v>33</v>
      </c>
      <c r="B42" s="33">
        <f t="shared" si="0"/>
        <v>1241.656741557351</v>
      </c>
      <c r="C42" s="44">
        <f t="shared" si="1"/>
        <v>74.99007489068427</v>
      </c>
      <c r="D42" s="33">
        <f t="shared" si="2"/>
        <v>1166.6666666666667</v>
      </c>
      <c r="E42" s="33">
        <f t="shared" si="3"/>
        <v>31500.00000000005</v>
      </c>
      <c r="F42" s="33">
        <f t="shared" si="4"/>
        <v>-1241.656741557351</v>
      </c>
    </row>
    <row r="43" spans="1:6" ht="15.75">
      <c r="A43" s="1">
        <v>34</v>
      </c>
      <c r="B43" s="33">
        <f t="shared" si="0"/>
        <v>1236.5522236572656</v>
      </c>
      <c r="C43" s="44">
        <f t="shared" si="1"/>
        <v>69.88555699059879</v>
      </c>
      <c r="D43" s="33">
        <f t="shared" si="2"/>
        <v>1166.6666666666667</v>
      </c>
      <c r="E43" s="33">
        <f t="shared" si="3"/>
        <v>30333.333333333383</v>
      </c>
      <c r="F43" s="33">
        <f t="shared" si="4"/>
        <v>-1236.5522236572656</v>
      </c>
    </row>
    <row r="44" spans="1:6" ht="15.75">
      <c r="A44" s="1">
        <v>35</v>
      </c>
      <c r="B44" s="33">
        <f t="shared" si="0"/>
        <v>1231.6167230788133</v>
      </c>
      <c r="C44" s="44">
        <f t="shared" si="1"/>
        <v>64.95005641214644</v>
      </c>
      <c r="D44" s="33">
        <f t="shared" si="2"/>
        <v>1166.6666666666667</v>
      </c>
      <c r="E44" s="33">
        <f t="shared" si="3"/>
        <v>29166.666666666715</v>
      </c>
      <c r="F44" s="33">
        <f t="shared" si="4"/>
        <v>-1231.6167230788133</v>
      </c>
    </row>
    <row r="45" spans="1:6" ht="15.75">
      <c r="A45" s="1">
        <v>36</v>
      </c>
      <c r="B45" s="33">
        <f t="shared" si="0"/>
        <v>1226.8514282445383</v>
      </c>
      <c r="C45" s="44">
        <f t="shared" si="1"/>
        <v>60.184761577871434</v>
      </c>
      <c r="D45" s="33">
        <f t="shared" si="2"/>
        <v>1166.6666666666667</v>
      </c>
      <c r="E45" s="33">
        <f t="shared" si="3"/>
        <v>28000.000000000047</v>
      </c>
      <c r="F45" s="33">
        <f t="shared" si="4"/>
        <v>-1226.8514282445383</v>
      </c>
    </row>
    <row r="46" spans="1:6" ht="15.75">
      <c r="A46" s="1">
        <v>37</v>
      </c>
      <c r="B46" s="33">
        <f t="shared" si="0"/>
        <v>1222.2575349203205</v>
      </c>
      <c r="C46" s="44">
        <f t="shared" si="1"/>
        <v>55.59086825365381</v>
      </c>
      <c r="D46" s="33">
        <f t="shared" si="2"/>
        <v>1166.6666666666667</v>
      </c>
      <c r="E46" s="33">
        <f t="shared" si="3"/>
        <v>26833.33333333338</v>
      </c>
      <c r="F46" s="33">
        <f t="shared" si="4"/>
        <v>-1222.2575349203205</v>
      </c>
    </row>
    <row r="47" spans="1:6" ht="15.75">
      <c r="A47" s="1">
        <v>38</v>
      </c>
      <c r="B47" s="33">
        <f t="shared" si="0"/>
        <v>1217.836246257725</v>
      </c>
      <c r="C47" s="44">
        <f t="shared" si="1"/>
        <v>51.16957959105826</v>
      </c>
      <c r="D47" s="33">
        <f t="shared" si="2"/>
        <v>1166.6666666666667</v>
      </c>
      <c r="E47" s="33">
        <f t="shared" si="3"/>
        <v>25666.66666666671</v>
      </c>
      <c r="F47" s="33">
        <f t="shared" si="4"/>
        <v>-1217.836246257725</v>
      </c>
    </row>
    <row r="48" spans="1:6" ht="15.75">
      <c r="A48" s="1">
        <v>39</v>
      </c>
      <c r="B48" s="33">
        <f t="shared" si="0"/>
        <v>1213.5887728365838</v>
      </c>
      <c r="C48" s="44">
        <f t="shared" si="1"/>
        <v>46.92210616991697</v>
      </c>
      <c r="D48" s="33">
        <f t="shared" si="2"/>
        <v>1166.6666666666667</v>
      </c>
      <c r="E48" s="33">
        <f t="shared" si="3"/>
        <v>24500.000000000044</v>
      </c>
      <c r="F48" s="33">
        <f t="shared" si="4"/>
        <v>-1213.5887728365838</v>
      </c>
    </row>
    <row r="49" spans="1:6" ht="15.75">
      <c r="A49" s="1">
        <v>40</v>
      </c>
      <c r="B49" s="33">
        <f t="shared" si="0"/>
        <v>1209.516332707814</v>
      </c>
      <c r="C49" s="44">
        <f t="shared" si="1"/>
        <v>42.849666041147216</v>
      </c>
      <c r="D49" s="33">
        <f t="shared" si="2"/>
        <v>1166.6666666666667</v>
      </c>
      <c r="E49" s="33">
        <f t="shared" si="3"/>
        <v>23333.333333333376</v>
      </c>
      <c r="F49" s="33">
        <f t="shared" si="4"/>
        <v>-1209.516332707814</v>
      </c>
    </row>
    <row r="50" spans="1:6" ht="15.75">
      <c r="A50" s="1">
        <v>41</v>
      </c>
      <c r="B50" s="33">
        <f t="shared" si="0"/>
        <v>1205.6201514364725</v>
      </c>
      <c r="C50" s="44">
        <f t="shared" si="1"/>
        <v>38.953484769805804</v>
      </c>
      <c r="D50" s="33">
        <f t="shared" si="2"/>
        <v>1166.6666666666667</v>
      </c>
      <c r="E50" s="33">
        <f t="shared" si="3"/>
        <v>22166.666666666708</v>
      </c>
      <c r="F50" s="33">
        <f t="shared" si="4"/>
        <v>-1205.6201514364725</v>
      </c>
    </row>
    <row r="51" spans="1:6" ht="15.75">
      <c r="A51" s="1">
        <v>42</v>
      </c>
      <c r="B51" s="33">
        <f t="shared" si="0"/>
        <v>1201.901462145048</v>
      </c>
      <c r="C51" s="44">
        <f t="shared" si="1"/>
        <v>35.234795478381436</v>
      </c>
      <c r="D51" s="33">
        <f t="shared" si="2"/>
        <v>1166.6666666666667</v>
      </c>
      <c r="E51" s="33">
        <f t="shared" si="3"/>
        <v>21000.00000000004</v>
      </c>
      <c r="F51" s="33">
        <f t="shared" si="4"/>
        <v>-1201.901462145048</v>
      </c>
    </row>
    <row r="52" spans="1:6" ht="15.75">
      <c r="A52" s="1">
        <v>43</v>
      </c>
      <c r="B52" s="33">
        <f t="shared" si="0"/>
        <v>1198.3615055569924</v>
      </c>
      <c r="C52" s="44">
        <f t="shared" si="1"/>
        <v>31.694838890325542</v>
      </c>
      <c r="D52" s="33">
        <f t="shared" si="2"/>
        <v>1166.6666666666667</v>
      </c>
      <c r="E52" s="33">
        <f t="shared" si="3"/>
        <v>19833.333333333372</v>
      </c>
      <c r="F52" s="33">
        <f t="shared" si="4"/>
        <v>-1198.3615055569924</v>
      </c>
    </row>
    <row r="53" spans="1:6" ht="15.75">
      <c r="A53" s="1">
        <v>44</v>
      </c>
      <c r="B53" s="33">
        <f t="shared" si="0"/>
        <v>1195.0015300404905</v>
      </c>
      <c r="C53" s="44">
        <f t="shared" si="1"/>
        <v>28.33486337382365</v>
      </c>
      <c r="D53" s="33">
        <f t="shared" si="2"/>
        <v>1166.6666666666667</v>
      </c>
      <c r="E53" s="33">
        <f t="shared" si="3"/>
        <v>18666.666666666704</v>
      </c>
      <c r="F53" s="33">
        <f t="shared" si="4"/>
        <v>-1195.0015300404905</v>
      </c>
    </row>
    <row r="54" spans="1:6" ht="15.75">
      <c r="A54" s="1">
        <v>45</v>
      </c>
      <c r="B54" s="33">
        <f t="shared" si="0"/>
        <v>1191.8227916524754</v>
      </c>
      <c r="C54" s="44">
        <f t="shared" si="1"/>
        <v>25.156124985808606</v>
      </c>
      <c r="D54" s="33">
        <f t="shared" si="2"/>
        <v>1166.6666666666667</v>
      </c>
      <c r="E54" s="33">
        <f t="shared" si="3"/>
        <v>17500.000000000036</v>
      </c>
      <c r="F54" s="33">
        <f t="shared" si="4"/>
        <v>-1191.8227916524754</v>
      </c>
    </row>
    <row r="55" spans="1:6" ht="15.75">
      <c r="A55" s="1">
        <v>46</v>
      </c>
      <c r="B55" s="33">
        <f t="shared" si="0"/>
        <v>1188.8265541828823</v>
      </c>
      <c r="C55" s="44">
        <f t="shared" si="1"/>
        <v>22.159887516215562</v>
      </c>
      <c r="D55" s="33">
        <f t="shared" si="2"/>
        <v>1166.6666666666667</v>
      </c>
      <c r="E55" s="33">
        <f t="shared" si="3"/>
        <v>16333.33333333337</v>
      </c>
      <c r="F55" s="33">
        <f t="shared" si="4"/>
        <v>-1188.8265541828823</v>
      </c>
    </row>
    <row r="56" spans="1:6" ht="15.75">
      <c r="A56" s="1">
        <v>47</v>
      </c>
      <c r="B56" s="33">
        <f t="shared" si="0"/>
        <v>1186.0140891991496</v>
      </c>
      <c r="C56" s="44">
        <f t="shared" si="1"/>
        <v>19.347422532482923</v>
      </c>
      <c r="D56" s="33">
        <f t="shared" si="2"/>
        <v>1166.6666666666667</v>
      </c>
      <c r="E56" s="33">
        <f t="shared" si="3"/>
        <v>15166.666666666704</v>
      </c>
      <c r="F56" s="33">
        <f t="shared" si="4"/>
        <v>-1186.0140891991496</v>
      </c>
    </row>
    <row r="57" spans="1:6" ht="15.75">
      <c r="A57" s="1">
        <v>48</v>
      </c>
      <c r="B57" s="33">
        <f t="shared" si="0"/>
        <v>1183.386676090964</v>
      </c>
      <c r="C57" s="44">
        <f t="shared" si="1"/>
        <v>16.720009424297274</v>
      </c>
      <c r="D57" s="33">
        <f t="shared" si="2"/>
        <v>1166.6666666666667</v>
      </c>
      <c r="E57" s="33">
        <f t="shared" si="3"/>
        <v>14000.000000000038</v>
      </c>
      <c r="F57" s="33">
        <f t="shared" si="4"/>
        <v>-1183.386676090964</v>
      </c>
    </row>
    <row r="58" spans="1:6" ht="15.75">
      <c r="A58" s="1">
        <v>49</v>
      </c>
      <c r="B58" s="33">
        <f t="shared" si="0"/>
        <v>1180.945602115252</v>
      </c>
      <c r="C58" s="44">
        <f t="shared" si="1"/>
        <v>14.278935448585246</v>
      </c>
      <c r="D58" s="33">
        <f t="shared" si="2"/>
        <v>1166.6666666666667</v>
      </c>
      <c r="E58" s="33">
        <f t="shared" si="3"/>
        <v>12833.333333333372</v>
      </c>
      <c r="F58" s="33">
        <f t="shared" si="4"/>
        <v>-1180.945602115252</v>
      </c>
    </row>
    <row r="59" spans="1:6" ht="15.75">
      <c r="A59" s="1">
        <v>50</v>
      </c>
      <c r="B59" s="33">
        <f t="shared" si="0"/>
        <v>1178.6921624414213</v>
      </c>
      <c r="C59" s="44">
        <f t="shared" si="1"/>
        <v>12.025495774754516</v>
      </c>
      <c r="D59" s="33">
        <f t="shared" si="2"/>
        <v>1166.6666666666667</v>
      </c>
      <c r="E59" s="33">
        <f t="shared" si="3"/>
        <v>11666.666666666706</v>
      </c>
      <c r="F59" s="33">
        <f t="shared" si="4"/>
        <v>-1178.6921624414213</v>
      </c>
    </row>
    <row r="60" spans="1:6" ht="15.75">
      <c r="A60" s="1">
        <v>51</v>
      </c>
      <c r="B60" s="33">
        <f t="shared" si="0"/>
        <v>1176.6276601968498</v>
      </c>
      <c r="C60" s="44">
        <f t="shared" si="1"/>
        <v>9.960993530183027</v>
      </c>
      <c r="D60" s="33">
        <f t="shared" si="2"/>
        <v>1166.6666666666667</v>
      </c>
      <c r="E60" s="33">
        <f t="shared" si="3"/>
        <v>10500.00000000004</v>
      </c>
      <c r="F60" s="33">
        <f t="shared" si="4"/>
        <v>-1176.6276601968498</v>
      </c>
    </row>
    <row r="61" spans="1:6" ht="15.75">
      <c r="A61" s="1">
        <v>52</v>
      </c>
      <c r="B61" s="33">
        <f t="shared" si="0"/>
        <v>1174.7534065126265</v>
      </c>
      <c r="C61" s="44">
        <f t="shared" si="1"/>
        <v>8.086739845959707</v>
      </c>
      <c r="D61" s="33">
        <f t="shared" si="2"/>
        <v>1166.6666666666667</v>
      </c>
      <c r="E61" s="33">
        <f t="shared" si="3"/>
        <v>9333.333333333374</v>
      </c>
      <c r="F61" s="33">
        <f t="shared" si="4"/>
        <v>-1174.7534065126265</v>
      </c>
    </row>
    <row r="62" spans="1:6" ht="15.75">
      <c r="A62" s="1">
        <v>53</v>
      </c>
      <c r="B62" s="33">
        <f t="shared" si="0"/>
        <v>1173.0707205695437</v>
      </c>
      <c r="C62" s="44">
        <f t="shared" si="1"/>
        <v>6.4040539028770445</v>
      </c>
      <c r="D62" s="33">
        <f t="shared" si="2"/>
        <v>1166.6666666666667</v>
      </c>
      <c r="E62" s="33">
        <f t="shared" si="3"/>
        <v>8166.666666666707</v>
      </c>
      <c r="F62" s="33">
        <f t="shared" si="4"/>
        <v>-1173.0707205695437</v>
      </c>
    </row>
    <row r="63" spans="1:6" ht="15.75">
      <c r="A63" s="1">
        <v>54</v>
      </c>
      <c r="B63" s="33">
        <f t="shared" si="0"/>
        <v>1171.580929644344</v>
      </c>
      <c r="C63" s="44">
        <f t="shared" si="1"/>
        <v>4.914262977677148</v>
      </c>
      <c r="D63" s="33">
        <f t="shared" si="2"/>
        <v>1166.6666666666667</v>
      </c>
      <c r="E63" s="33">
        <f t="shared" si="3"/>
        <v>7000.00000000004</v>
      </c>
      <c r="F63" s="33">
        <f t="shared" si="4"/>
        <v>-1171.580929644344</v>
      </c>
    </row>
    <row r="64" spans="1:6" ht="15.75">
      <c r="A64" s="1">
        <v>55</v>
      </c>
      <c r="B64" s="33">
        <f t="shared" si="0"/>
        <v>1170.2853691562195</v>
      </c>
      <c r="C64" s="44">
        <f t="shared" si="1"/>
        <v>3.618702489552805</v>
      </c>
      <c r="D64" s="33">
        <f t="shared" si="2"/>
        <v>1166.6666666666667</v>
      </c>
      <c r="E64" s="33">
        <f t="shared" si="3"/>
        <v>5833.333333333373</v>
      </c>
      <c r="F64" s="33">
        <f t="shared" si="4"/>
        <v>-1170.2853691562195</v>
      </c>
    </row>
    <row r="65" spans="1:6" ht="15.75">
      <c r="A65" s="1">
        <v>56</v>
      </c>
      <c r="B65" s="33">
        <f t="shared" si="0"/>
        <v>1169.185382713571</v>
      </c>
      <c r="C65" s="44">
        <f t="shared" si="1"/>
        <v>2.5187160469043763</v>
      </c>
      <c r="D65" s="33">
        <f t="shared" si="2"/>
        <v>1166.6666666666667</v>
      </c>
      <c r="E65" s="33">
        <f t="shared" si="3"/>
        <v>4666.666666666706</v>
      </c>
      <c r="F65" s="33">
        <f t="shared" si="4"/>
        <v>-1169.185382713571</v>
      </c>
    </row>
    <row r="66" spans="1:6" ht="15.75">
      <c r="A66" s="1">
        <v>57</v>
      </c>
      <c r="B66" s="33">
        <f t="shared" si="0"/>
        <v>1168.2823221610213</v>
      </c>
      <c r="C66" s="44">
        <f t="shared" si="1"/>
        <v>1.6156554943545942</v>
      </c>
      <c r="D66" s="33">
        <f t="shared" si="2"/>
        <v>1166.6666666666667</v>
      </c>
      <c r="E66" s="33">
        <f t="shared" si="3"/>
        <v>3500.000000000039</v>
      </c>
      <c r="F66" s="33">
        <f t="shared" si="4"/>
        <v>-1168.2823221610213</v>
      </c>
    </row>
    <row r="67" spans="1:6" ht="15.75">
      <c r="A67" s="1">
        <v>58</v>
      </c>
      <c r="B67" s="33">
        <f t="shared" si="0"/>
        <v>1167.5775476266888</v>
      </c>
      <c r="C67" s="44">
        <f t="shared" si="1"/>
        <v>0.9108809600221108</v>
      </c>
      <c r="D67" s="33">
        <f t="shared" si="2"/>
        <v>1166.6666666666667</v>
      </c>
      <c r="E67" s="33">
        <f t="shared" si="3"/>
        <v>2333.333333333372</v>
      </c>
      <c r="F67" s="33">
        <f t="shared" si="4"/>
        <v>-1167.5775476266888</v>
      </c>
    </row>
    <row r="68" spans="1:6" ht="15.75">
      <c r="A68" s="1">
        <v>59</v>
      </c>
      <c r="B68" s="33">
        <f t="shared" si="0"/>
        <v>1167.0724275697223</v>
      </c>
      <c r="C68" s="44">
        <f t="shared" si="1"/>
        <v>0.40576090305547285</v>
      </c>
      <c r="D68" s="33">
        <f t="shared" si="2"/>
        <v>1166.6666666666667</v>
      </c>
      <c r="E68" s="33">
        <f t="shared" si="3"/>
        <v>1166.6666666667054</v>
      </c>
      <c r="F68" s="33">
        <f t="shared" si="4"/>
        <v>-1167.0724275697223</v>
      </c>
    </row>
    <row r="69" spans="1:6" ht="15.75">
      <c r="A69" s="1">
        <v>60</v>
      </c>
      <c r="B69" s="33">
        <f t="shared" si="0"/>
        <v>1166.7683388280955</v>
      </c>
      <c r="C69" s="44">
        <f t="shared" si="1"/>
        <v>0.10167216142867962</v>
      </c>
      <c r="D69" s="33">
        <f t="shared" si="2"/>
        <v>1166.6666666666667</v>
      </c>
      <c r="E69" s="33">
        <f t="shared" si="3"/>
        <v>3.865352482534945E-11</v>
      </c>
      <c r="F69" s="33">
        <f t="shared" si="4"/>
        <v>-1166.7683388280955</v>
      </c>
    </row>
    <row r="70" spans="1:6" ht="15.75">
      <c r="A70" s="1"/>
      <c r="B70" s="49">
        <f>SUM(B10:B69)</f>
        <v>76795.70046639911</v>
      </c>
      <c r="C70" s="36"/>
      <c r="D70" s="33"/>
      <c r="E70" s="36"/>
      <c r="F70" s="36">
        <f t="shared" si="4"/>
        <v>-76795.70046639911</v>
      </c>
    </row>
    <row r="71" spans="1:6" ht="15.75">
      <c r="A71" s="1"/>
      <c r="B71" s="36"/>
      <c r="C71" s="36"/>
      <c r="D71" s="33"/>
      <c r="E71" s="36"/>
      <c r="F71" s="36"/>
    </row>
    <row r="72" spans="1:6" ht="15.75">
      <c r="A72" s="1"/>
      <c r="B72" s="36"/>
      <c r="C72" s="36"/>
      <c r="D72" s="33"/>
      <c r="E72" s="36"/>
      <c r="F72" s="36"/>
    </row>
    <row r="73" spans="1:6" ht="15.75">
      <c r="A73" s="1"/>
      <c r="B73" s="36"/>
      <c r="C73" s="36"/>
      <c r="D73" s="33"/>
      <c r="E73" s="36"/>
      <c r="F73" s="36"/>
    </row>
    <row r="74" spans="1:6" ht="15.75">
      <c r="A74" s="1"/>
      <c r="B74" s="36"/>
      <c r="C74" s="36"/>
      <c r="D74" s="33"/>
      <c r="E74" s="36"/>
      <c r="F74" s="36"/>
    </row>
    <row r="75" spans="1:6" ht="15.75">
      <c r="A75" s="1"/>
      <c r="B75" s="36"/>
      <c r="C75" s="36"/>
      <c r="D75" s="33"/>
      <c r="E75" s="36"/>
      <c r="F75" s="36"/>
    </row>
    <row r="76" spans="1:6" ht="15.75">
      <c r="A76" s="1"/>
      <c r="B76" s="36"/>
      <c r="C76" s="36"/>
      <c r="D76" s="33"/>
      <c r="E76" s="36"/>
      <c r="F76" s="36"/>
    </row>
    <row r="77" spans="1:6" ht="15.75">
      <c r="A77" s="1"/>
      <c r="B77" s="36"/>
      <c r="C77" s="36"/>
      <c r="D77" s="33"/>
      <c r="E77" s="36"/>
      <c r="F77" s="36"/>
    </row>
    <row r="78" spans="1:6" ht="15.75">
      <c r="A78" s="1"/>
      <c r="B78" s="36"/>
      <c r="C78" s="36"/>
      <c r="D78" s="33"/>
      <c r="E78" s="36"/>
      <c r="F78" s="36"/>
    </row>
    <row r="79" spans="1:6" ht="15.75">
      <c r="A79" s="1"/>
      <c r="B79" s="36"/>
      <c r="C79" s="36"/>
      <c r="D79" s="33"/>
      <c r="E79" s="36"/>
      <c r="F79" s="36"/>
    </row>
    <row r="80" spans="1:6" ht="15.75">
      <c r="A80" s="1"/>
      <c r="B80" s="36"/>
      <c r="C80" s="36"/>
      <c r="D80" s="33"/>
      <c r="E80" s="36"/>
      <c r="F80" s="36"/>
    </row>
    <row r="81" spans="1:6" ht="15.75">
      <c r="A81" s="1"/>
      <c r="B81" s="36"/>
      <c r="C81" s="36"/>
      <c r="D81" s="33"/>
      <c r="E81" s="36"/>
      <c r="F81" s="36"/>
    </row>
    <row r="82" spans="1:6" ht="15.75">
      <c r="A82" s="1"/>
      <c r="B82" s="36"/>
      <c r="C82" s="36"/>
      <c r="D82" s="33"/>
      <c r="E82" s="36"/>
      <c r="F82" s="36"/>
    </row>
    <row r="83" spans="1:6" ht="15.75">
      <c r="A83" s="1"/>
      <c r="B83" s="36"/>
      <c r="C83" s="36"/>
      <c r="D83" s="33"/>
      <c r="E83" s="36"/>
      <c r="F83" s="36"/>
    </row>
    <row r="84" spans="1:6" ht="15.75">
      <c r="A84" s="1"/>
      <c r="B84" s="36"/>
      <c r="C84" s="36"/>
      <c r="D84" s="33"/>
      <c r="E84" s="36"/>
      <c r="F84" s="36"/>
    </row>
    <row r="85" spans="1:6" ht="15.75">
      <c r="A85" s="1"/>
      <c r="B85" s="36"/>
      <c r="C85" s="36"/>
      <c r="D85" s="33"/>
      <c r="E85" s="36"/>
      <c r="F85" s="36"/>
    </row>
    <row r="86" spans="1:6" ht="15.75">
      <c r="A86" s="1"/>
      <c r="B86" s="36"/>
      <c r="C86" s="36"/>
      <c r="D86" s="33"/>
      <c r="E86" s="36"/>
      <c r="F86" s="36"/>
    </row>
    <row r="87" spans="1:6" ht="15.75">
      <c r="A87" s="1"/>
      <c r="B87" s="36"/>
      <c r="C87" s="36"/>
      <c r="D87" s="33"/>
      <c r="E87" s="36"/>
      <c r="F87" s="36"/>
    </row>
    <row r="88" spans="1:6" ht="15.75">
      <c r="A88" s="1"/>
      <c r="B88" s="36"/>
      <c r="C88" s="36"/>
      <c r="D88" s="33"/>
      <c r="E88" s="36"/>
      <c r="F88" s="36"/>
    </row>
    <row r="89" spans="1:6" ht="15.75">
      <c r="A89" s="1"/>
      <c r="B89" s="36"/>
      <c r="C89" s="36"/>
      <c r="D89" s="33"/>
      <c r="E89" s="36"/>
      <c r="F89" s="36"/>
    </row>
    <row r="90" spans="1:6" ht="15.75">
      <c r="A90" s="1"/>
      <c r="B90" s="36"/>
      <c r="C90" s="36"/>
      <c r="D90" s="33"/>
      <c r="E90" s="36"/>
      <c r="F90" s="36"/>
    </row>
    <row r="91" spans="1:6" ht="15.75">
      <c r="A91" s="1"/>
      <c r="B91" s="36"/>
      <c r="C91" s="36"/>
      <c r="D91" s="33"/>
      <c r="E91" s="36"/>
      <c r="F91" s="36"/>
    </row>
    <row r="92" spans="1:6" ht="15.75">
      <c r="A92" s="1"/>
      <c r="B92" s="36"/>
      <c r="C92" s="36"/>
      <c r="D92" s="33"/>
      <c r="E92" s="36"/>
      <c r="F92" s="36"/>
    </row>
    <row r="93" spans="1:6" ht="15.75">
      <c r="A93" s="1"/>
      <c r="B93" s="36"/>
      <c r="C93" s="36"/>
      <c r="D93" s="33"/>
      <c r="E93" s="36"/>
      <c r="F93" s="36"/>
    </row>
    <row r="94" spans="1:6" ht="15.75">
      <c r="A94" s="1"/>
      <c r="B94" s="36"/>
      <c r="C94" s="36"/>
      <c r="D94" s="33"/>
      <c r="E94" s="36"/>
      <c r="F94" s="36"/>
    </row>
    <row r="95" spans="1:6" ht="15.75">
      <c r="A95" s="1"/>
      <c r="B95" s="36"/>
      <c r="C95" s="36"/>
      <c r="D95" s="33"/>
      <c r="E95" s="36"/>
      <c r="F95" s="36"/>
    </row>
    <row r="96" spans="1:6" ht="15.75">
      <c r="A96" s="1"/>
      <c r="B96" s="36"/>
      <c r="C96" s="36"/>
      <c r="D96" s="33"/>
      <c r="E96" s="36"/>
      <c r="F96" s="36"/>
    </row>
    <row r="97" spans="1:6" ht="15.75">
      <c r="A97" s="1"/>
      <c r="B97" s="36"/>
      <c r="C97" s="36"/>
      <c r="D97" s="33"/>
      <c r="E97" s="36"/>
      <c r="F97" s="36"/>
    </row>
    <row r="98" spans="1:6" ht="15.75">
      <c r="A98" s="1"/>
      <c r="B98" s="36"/>
      <c r="C98" s="36"/>
      <c r="D98" s="33"/>
      <c r="E98" s="36"/>
      <c r="F98" s="36"/>
    </row>
    <row r="99" spans="1:6" ht="15.75">
      <c r="A99" s="1"/>
      <c r="B99" s="36"/>
      <c r="C99" s="36"/>
      <c r="D99" s="33"/>
      <c r="E99" s="36"/>
      <c r="F99" s="36"/>
    </row>
    <row r="100" spans="1:6" ht="15.75">
      <c r="A100" s="1"/>
      <c r="B100" s="36"/>
      <c r="C100" s="36"/>
      <c r="D100" s="33"/>
      <c r="E100" s="36"/>
      <c r="F100" s="36"/>
    </row>
    <row r="101" spans="1:6" ht="15.75">
      <c r="A101" s="1"/>
      <c r="B101" s="36"/>
      <c r="C101" s="36"/>
      <c r="D101" s="33"/>
      <c r="E101" s="36"/>
      <c r="F101" s="36"/>
    </row>
    <row r="102" spans="1:6" ht="15.75">
      <c r="A102" s="1"/>
      <c r="B102" s="36"/>
      <c r="C102" s="36"/>
      <c r="D102" s="33"/>
      <c r="E102" s="36"/>
      <c r="F102" s="36"/>
    </row>
    <row r="103" spans="1:6" ht="15.75">
      <c r="A103" s="1"/>
      <c r="B103" s="36"/>
      <c r="C103" s="36"/>
      <c r="D103" s="33"/>
      <c r="E103" s="36"/>
      <c r="F103" s="36"/>
    </row>
    <row r="104" spans="1:6" ht="15.75">
      <c r="A104" s="1"/>
      <c r="B104" s="36"/>
      <c r="C104" s="36"/>
      <c r="D104" s="33"/>
      <c r="E104" s="36"/>
      <c r="F104" s="36"/>
    </row>
    <row r="105" spans="1:6" ht="15.75">
      <c r="A105" s="1"/>
      <c r="B105" s="36"/>
      <c r="C105" s="36"/>
      <c r="D105" s="33"/>
      <c r="E105" s="36"/>
      <c r="F105" s="36"/>
    </row>
    <row r="106" spans="1:6" ht="15.75">
      <c r="A106" s="1"/>
      <c r="B106" s="36"/>
      <c r="C106" s="36"/>
      <c r="D106" s="33"/>
      <c r="E106" s="36"/>
      <c r="F106" s="36"/>
    </row>
    <row r="107" spans="1:6" ht="15.75">
      <c r="A107" s="1"/>
      <c r="B107" s="36"/>
      <c r="C107" s="36"/>
      <c r="D107" s="33"/>
      <c r="E107" s="36"/>
      <c r="F107" s="36"/>
    </row>
    <row r="108" spans="1:6" ht="15.75">
      <c r="A108" s="1"/>
      <c r="B108" s="36"/>
      <c r="C108" s="36"/>
      <c r="D108" s="33"/>
      <c r="E108" s="36"/>
      <c r="F108" s="36"/>
    </row>
    <row r="109" spans="1:6" ht="15.75">
      <c r="A109" s="1"/>
      <c r="B109" s="36"/>
      <c r="C109" s="36"/>
      <c r="D109" s="33"/>
      <c r="E109" s="36"/>
      <c r="F109" s="36"/>
    </row>
    <row r="110" spans="1:6" ht="15.75">
      <c r="A110" s="1"/>
      <c r="B110" s="36"/>
      <c r="C110" s="36"/>
      <c r="D110" s="33"/>
      <c r="E110" s="36"/>
      <c r="F110" s="36"/>
    </row>
    <row r="111" spans="1:6" ht="15.75">
      <c r="A111" s="1"/>
      <c r="B111" s="36"/>
      <c r="C111" s="36"/>
      <c r="D111" s="33"/>
      <c r="E111" s="36"/>
      <c r="F111" s="36"/>
    </row>
    <row r="112" spans="1:6" ht="15.75">
      <c r="A112" s="1"/>
      <c r="B112" s="36"/>
      <c r="C112" s="36"/>
      <c r="D112" s="33"/>
      <c r="E112" s="36"/>
      <c r="F112" s="36"/>
    </row>
    <row r="113" spans="1:6" ht="15.75">
      <c r="A113" s="1"/>
      <c r="B113" s="36"/>
      <c r="C113" s="36"/>
      <c r="D113" s="33"/>
      <c r="E113" s="36"/>
      <c r="F113" s="36"/>
    </row>
    <row r="114" spans="1:6" ht="15.75">
      <c r="A114" s="1"/>
      <c r="B114" s="36"/>
      <c r="C114" s="36"/>
      <c r="D114" s="33"/>
      <c r="E114" s="36"/>
      <c r="F114" s="36"/>
    </row>
    <row r="115" spans="1:6" ht="15.75">
      <c r="A115" s="1"/>
      <c r="B115" s="36"/>
      <c r="C115" s="36"/>
      <c r="D115" s="33"/>
      <c r="E115" s="36"/>
      <c r="F115" s="36"/>
    </row>
    <row r="116" spans="1:6" ht="15.75">
      <c r="A116" s="1"/>
      <c r="B116" s="36"/>
      <c r="C116" s="36"/>
      <c r="D116" s="33"/>
      <c r="E116" s="36"/>
      <c r="F116" s="36"/>
    </row>
    <row r="117" spans="1:6" ht="15.75">
      <c r="A117" s="1"/>
      <c r="B117" s="36"/>
      <c r="C117" s="36"/>
      <c r="D117" s="33"/>
      <c r="E117" s="36"/>
      <c r="F117" s="36"/>
    </row>
    <row r="118" spans="1:6" ht="15.75">
      <c r="A118" s="1"/>
      <c r="B118" s="36"/>
      <c r="C118" s="36"/>
      <c r="D118" s="33"/>
      <c r="E118" s="36"/>
      <c r="F118" s="36"/>
    </row>
    <row r="119" spans="1:6" ht="15.75">
      <c r="A119" s="1"/>
      <c r="B119" s="36"/>
      <c r="C119" s="36"/>
      <c r="D119" s="33"/>
      <c r="E119" s="36"/>
      <c r="F119" s="36"/>
    </row>
    <row r="120" spans="1:6" ht="15.75">
      <c r="A120" s="1"/>
      <c r="B120" s="36"/>
      <c r="C120" s="36"/>
      <c r="D120" s="33"/>
      <c r="E120" s="36"/>
      <c r="F120" s="36"/>
    </row>
    <row r="121" spans="1:6" ht="15.75">
      <c r="A121" s="1"/>
      <c r="B121" s="36"/>
      <c r="C121" s="36"/>
      <c r="D121" s="33"/>
      <c r="E121" s="36"/>
      <c r="F121" s="36"/>
    </row>
    <row r="122" spans="1:6" ht="15.75">
      <c r="A122" s="1"/>
      <c r="B122" s="36"/>
      <c r="C122" s="36"/>
      <c r="D122" s="33"/>
      <c r="E122" s="36"/>
      <c r="F122" s="36"/>
    </row>
    <row r="123" spans="1:6" ht="15.75">
      <c r="A123" s="1"/>
      <c r="B123" s="36"/>
      <c r="C123" s="36"/>
      <c r="D123" s="33"/>
      <c r="E123" s="36"/>
      <c r="F123" s="36"/>
    </row>
    <row r="124" spans="1:6" ht="15.75">
      <c r="A124" s="1"/>
      <c r="B124" s="36"/>
      <c r="C124" s="36"/>
      <c r="D124" s="33"/>
      <c r="E124" s="36"/>
      <c r="F124" s="36"/>
    </row>
    <row r="125" spans="1:6" ht="15.75">
      <c r="A125" s="1"/>
      <c r="B125" s="36"/>
      <c r="C125" s="36"/>
      <c r="D125" s="33"/>
      <c r="E125" s="36"/>
      <c r="F125" s="36"/>
    </row>
    <row r="126" spans="1:6" ht="15.75">
      <c r="A126" s="1"/>
      <c r="B126" s="36"/>
      <c r="C126" s="36"/>
      <c r="D126" s="33"/>
      <c r="E126" s="36"/>
      <c r="F126" s="36"/>
    </row>
    <row r="127" spans="1:6" ht="15.75">
      <c r="A127" s="1"/>
      <c r="B127" s="36"/>
      <c r="C127" s="36"/>
      <c r="D127" s="33"/>
      <c r="E127" s="36"/>
      <c r="F127" s="36"/>
    </row>
    <row r="128" spans="1:6" ht="15.75">
      <c r="A128" s="1"/>
      <c r="B128" s="36"/>
      <c r="C128" s="36"/>
      <c r="D128" s="33"/>
      <c r="E128" s="36"/>
      <c r="F128" s="36"/>
    </row>
    <row r="129" spans="1:6" ht="15.75">
      <c r="A129" s="1"/>
      <c r="B129" s="36"/>
      <c r="C129" s="36"/>
      <c r="D129" s="33"/>
      <c r="E129" s="36"/>
      <c r="F129" s="36"/>
    </row>
    <row r="130" spans="1:6" ht="15.75">
      <c r="A130" s="1"/>
      <c r="B130" s="36"/>
      <c r="C130" s="36"/>
      <c r="D130" s="33"/>
      <c r="E130" s="36"/>
      <c r="F130" s="36"/>
    </row>
    <row r="131" spans="1:6" ht="15.75">
      <c r="A131" s="1"/>
      <c r="B131" s="36"/>
      <c r="C131" s="36"/>
      <c r="D131" s="33"/>
      <c r="E131" s="36"/>
      <c r="F131" s="36"/>
    </row>
    <row r="132" spans="1:6" ht="15.75">
      <c r="A132" s="1"/>
      <c r="B132" s="36"/>
      <c r="C132" s="36"/>
      <c r="D132" s="33"/>
      <c r="E132" s="36"/>
      <c r="F132" s="36"/>
    </row>
    <row r="133" spans="1:6" ht="15.75">
      <c r="A133" s="1"/>
      <c r="B133" s="36"/>
      <c r="C133" s="36"/>
      <c r="D133" s="33"/>
      <c r="E133" s="36"/>
      <c r="F133" s="36"/>
    </row>
    <row r="134" spans="1:6" ht="15.75">
      <c r="A134" s="1"/>
      <c r="B134" s="36"/>
      <c r="C134" s="36"/>
      <c r="D134" s="33"/>
      <c r="E134" s="36"/>
      <c r="F134" s="36"/>
    </row>
    <row r="135" spans="1:6" ht="15.75">
      <c r="A135" s="1"/>
      <c r="B135" s="36"/>
      <c r="C135" s="36"/>
      <c r="D135" s="33"/>
      <c r="E135" s="36"/>
      <c r="F135" s="36"/>
    </row>
    <row r="136" spans="1:6" ht="15.75">
      <c r="A136" s="1"/>
      <c r="B136" s="36"/>
      <c r="C136" s="36"/>
      <c r="D136" s="33"/>
      <c r="E136" s="36"/>
      <c r="F136" s="36"/>
    </row>
    <row r="137" spans="1:6" ht="15.75">
      <c r="A137" s="1"/>
      <c r="B137" s="36"/>
      <c r="C137" s="36"/>
      <c r="D137" s="33"/>
      <c r="E137" s="36"/>
      <c r="F137" s="36"/>
    </row>
    <row r="138" spans="1:6" ht="15.75">
      <c r="A138" s="1"/>
      <c r="B138" s="36"/>
      <c r="C138" s="36"/>
      <c r="D138" s="33"/>
      <c r="E138" s="36"/>
      <c r="F138" s="36"/>
    </row>
    <row r="139" spans="1:6" ht="15.75">
      <c r="A139" s="1"/>
      <c r="B139" s="36"/>
      <c r="C139" s="36"/>
      <c r="D139" s="33"/>
      <c r="E139" s="36"/>
      <c r="F139" s="36"/>
    </row>
    <row r="140" spans="1:6" ht="15.75">
      <c r="A140" s="1"/>
      <c r="B140" s="36"/>
      <c r="C140" s="36"/>
      <c r="D140" s="33"/>
      <c r="E140" s="36"/>
      <c r="F140" s="36"/>
    </row>
    <row r="141" spans="1:6" ht="15.75">
      <c r="A141" s="1"/>
      <c r="B141" s="36"/>
      <c r="C141" s="36"/>
      <c r="D141" s="33"/>
      <c r="E141" s="36"/>
      <c r="F141" s="36"/>
    </row>
    <row r="142" spans="1:6" ht="15.75">
      <c r="A142" s="1"/>
      <c r="B142" s="36"/>
      <c r="C142" s="36"/>
      <c r="D142" s="33"/>
      <c r="E142" s="36"/>
      <c r="F142" s="36"/>
    </row>
    <row r="143" spans="1:6" ht="15.75">
      <c r="A143" s="1"/>
      <c r="B143" s="36"/>
      <c r="C143" s="36"/>
      <c r="D143" s="33"/>
      <c r="E143" s="36"/>
      <c r="F143" s="36"/>
    </row>
    <row r="144" spans="1:6" ht="15.75">
      <c r="A144" s="1"/>
      <c r="B144" s="36"/>
      <c r="C144" s="36"/>
      <c r="D144" s="33"/>
      <c r="E144" s="36"/>
      <c r="F144" s="36"/>
    </row>
    <row r="145" spans="1:6" ht="15.75">
      <c r="A145" s="1"/>
      <c r="B145" s="36"/>
      <c r="C145" s="36"/>
      <c r="D145" s="33"/>
      <c r="E145" s="36"/>
      <c r="F145" s="36"/>
    </row>
    <row r="146" spans="1:6" ht="15.75">
      <c r="A146" s="1"/>
      <c r="B146" s="36"/>
      <c r="C146" s="36"/>
      <c r="D146" s="33"/>
      <c r="E146" s="36"/>
      <c r="F146" s="36"/>
    </row>
    <row r="147" spans="1:6" ht="15.75">
      <c r="A147" s="1"/>
      <c r="B147" s="36"/>
      <c r="C147" s="36"/>
      <c r="D147" s="33"/>
      <c r="E147" s="36"/>
      <c r="F147" s="36"/>
    </row>
    <row r="148" spans="1:6" ht="15.75">
      <c r="A148" s="1"/>
      <c r="B148" s="36"/>
      <c r="C148" s="36"/>
      <c r="D148" s="33"/>
      <c r="E148" s="36"/>
      <c r="F148" s="36"/>
    </row>
    <row r="149" spans="1:6" ht="15.75">
      <c r="A149" s="1"/>
      <c r="B149" s="36"/>
      <c r="C149" s="36"/>
      <c r="D149" s="33"/>
      <c r="E149" s="36"/>
      <c r="F149" s="36"/>
    </row>
    <row r="150" spans="1:6" ht="15.75">
      <c r="A150" s="1"/>
      <c r="B150" s="36"/>
      <c r="C150" s="36"/>
      <c r="D150" s="33"/>
      <c r="E150" s="36"/>
      <c r="F150" s="36"/>
    </row>
    <row r="151" spans="1:6" ht="15.75">
      <c r="A151" s="1"/>
      <c r="B151" s="36"/>
      <c r="C151" s="36"/>
      <c r="D151" s="33"/>
      <c r="E151" s="36"/>
      <c r="F151" s="36"/>
    </row>
    <row r="152" spans="1:6" ht="15.75">
      <c r="A152" s="1"/>
      <c r="B152" s="36"/>
      <c r="C152" s="36"/>
      <c r="D152" s="33"/>
      <c r="E152" s="36"/>
      <c r="F152" s="36"/>
    </row>
    <row r="153" spans="1:6" ht="15.75">
      <c r="A153" s="1"/>
      <c r="B153" s="36"/>
      <c r="C153" s="36"/>
      <c r="D153" s="33"/>
      <c r="E153" s="36"/>
      <c r="F153" s="36"/>
    </row>
    <row r="154" spans="1:6" ht="15.75">
      <c r="A154" s="1"/>
      <c r="B154" s="36"/>
      <c r="C154" s="36"/>
      <c r="D154" s="33"/>
      <c r="E154" s="36"/>
      <c r="F154" s="36"/>
    </row>
    <row r="155" spans="1:6" ht="15.75">
      <c r="A155" s="1"/>
      <c r="B155" s="36"/>
      <c r="C155" s="36"/>
      <c r="D155" s="33"/>
      <c r="E155" s="36"/>
      <c r="F155" s="36"/>
    </row>
    <row r="156" spans="1:6" ht="15.75">
      <c r="A156" s="1"/>
      <c r="B156" s="36"/>
      <c r="C156" s="36"/>
      <c r="D156" s="33"/>
      <c r="E156" s="36"/>
      <c r="F156" s="36"/>
    </row>
    <row r="157" spans="1:6" ht="15.75">
      <c r="A157" s="1"/>
      <c r="B157" s="36"/>
      <c r="C157" s="36"/>
      <c r="D157" s="33"/>
      <c r="E157" s="36"/>
      <c r="F157" s="36"/>
    </row>
    <row r="158" spans="1:6" ht="15.75">
      <c r="A158" s="1"/>
      <c r="B158" s="36"/>
      <c r="C158" s="36"/>
      <c r="D158" s="33"/>
      <c r="E158" s="36"/>
      <c r="F158" s="36"/>
    </row>
    <row r="159" spans="1:6" ht="15.75">
      <c r="A159" s="1"/>
      <c r="B159" s="36"/>
      <c r="C159" s="36"/>
      <c r="D159" s="33"/>
      <c r="E159" s="36"/>
      <c r="F159" s="36"/>
    </row>
    <row r="160" spans="1:6" ht="15.75">
      <c r="A160" s="1"/>
      <c r="B160" s="36"/>
      <c r="C160" s="36"/>
      <c r="D160" s="33"/>
      <c r="E160" s="36"/>
      <c r="F160" s="36"/>
    </row>
    <row r="161" spans="1:6" ht="15.75">
      <c r="A161" s="1"/>
      <c r="B161" s="36"/>
      <c r="C161" s="36"/>
      <c r="D161" s="33"/>
      <c r="E161" s="36"/>
      <c r="F161" s="36"/>
    </row>
    <row r="162" spans="1:6" ht="15.75">
      <c r="A162" s="1"/>
      <c r="B162" s="36"/>
      <c r="C162" s="36"/>
      <c r="D162" s="33"/>
      <c r="E162" s="36"/>
      <c r="F162" s="36"/>
    </row>
    <row r="163" spans="1:6" ht="15.75">
      <c r="A163" s="1"/>
      <c r="B163" s="36"/>
      <c r="C163" s="36"/>
      <c r="D163" s="33"/>
      <c r="E163" s="36"/>
      <c r="F163" s="36"/>
    </row>
    <row r="164" spans="1:6" ht="15.75">
      <c r="A164" s="1"/>
      <c r="B164" s="36"/>
      <c r="C164" s="36"/>
      <c r="D164" s="33"/>
      <c r="E164" s="36"/>
      <c r="F164" s="36"/>
    </row>
    <row r="165" spans="1:6" ht="15.75">
      <c r="A165" s="1"/>
      <c r="B165" s="36"/>
      <c r="C165" s="36"/>
      <c r="D165" s="33"/>
      <c r="E165" s="36"/>
      <c r="F165" s="36"/>
    </row>
    <row r="166" spans="1:6" ht="15.75">
      <c r="A166" s="1"/>
      <c r="B166" s="36"/>
      <c r="C166" s="36"/>
      <c r="D166" s="33"/>
      <c r="E166" s="36"/>
      <c r="F166" s="36"/>
    </row>
    <row r="167" spans="1:6" ht="15.75">
      <c r="A167" s="1"/>
      <c r="B167" s="36"/>
      <c r="C167" s="36"/>
      <c r="D167" s="33"/>
      <c r="E167" s="36"/>
      <c r="F167" s="36"/>
    </row>
    <row r="168" spans="1:6" ht="15.75">
      <c r="A168" s="1"/>
      <c r="B168" s="36"/>
      <c r="C168" s="36"/>
      <c r="D168" s="33"/>
      <c r="E168" s="36"/>
      <c r="F168" s="36"/>
    </row>
    <row r="169" spans="1:6" ht="15.75">
      <c r="A169" s="1"/>
      <c r="B169" s="36"/>
      <c r="C169" s="36"/>
      <c r="D169" s="33"/>
      <c r="E169" s="36"/>
      <c r="F169" s="36"/>
    </row>
    <row r="170" spans="1:6" ht="15.75">
      <c r="A170" s="1"/>
      <c r="B170" s="36"/>
      <c r="C170" s="36"/>
      <c r="D170" s="33"/>
      <c r="E170" s="36"/>
      <c r="F170" s="36"/>
    </row>
    <row r="171" spans="1:6" ht="15.75">
      <c r="A171" s="1"/>
      <c r="B171" s="36"/>
      <c r="C171" s="36"/>
      <c r="D171" s="33"/>
      <c r="E171" s="36"/>
      <c r="F171" s="36"/>
    </row>
    <row r="172" spans="1:6" ht="15.75">
      <c r="A172" s="1"/>
      <c r="B172" s="36"/>
      <c r="C172" s="36"/>
      <c r="D172" s="33"/>
      <c r="E172" s="36"/>
      <c r="F172" s="36"/>
    </row>
    <row r="173" spans="1:6" ht="15.75">
      <c r="A173" s="1"/>
      <c r="B173" s="36"/>
      <c r="C173" s="36"/>
      <c r="D173" s="33"/>
      <c r="E173" s="36"/>
      <c r="F173" s="36"/>
    </row>
    <row r="174" spans="1:6" ht="15.75">
      <c r="A174" s="1"/>
      <c r="B174" s="36"/>
      <c r="C174" s="36"/>
      <c r="D174" s="33"/>
      <c r="E174" s="36"/>
      <c r="F174" s="36"/>
    </row>
    <row r="175" spans="1:6" ht="15.75">
      <c r="A175" s="1"/>
      <c r="B175" s="36"/>
      <c r="C175" s="36"/>
      <c r="D175" s="33"/>
      <c r="E175" s="36"/>
      <c r="F175" s="36"/>
    </row>
    <row r="176" spans="1:6" ht="15.75">
      <c r="A176" s="1"/>
      <c r="B176" s="36"/>
      <c r="C176" s="36"/>
      <c r="D176" s="33"/>
      <c r="E176" s="36"/>
      <c r="F176" s="36"/>
    </row>
    <row r="177" spans="1:6" ht="15.75">
      <c r="A177" s="1"/>
      <c r="B177" s="36"/>
      <c r="C177" s="36"/>
      <c r="D177" s="33"/>
      <c r="E177" s="36"/>
      <c r="F177" s="36"/>
    </row>
    <row r="178" spans="1:6" ht="15.75">
      <c r="A178" s="1"/>
      <c r="B178" s="36"/>
      <c r="C178" s="36"/>
      <c r="D178" s="33"/>
      <c r="E178" s="36"/>
      <c r="F178" s="36"/>
    </row>
    <row r="179" spans="1:6" ht="15.75">
      <c r="A179" s="1"/>
      <c r="B179" s="36"/>
      <c r="C179" s="36"/>
      <c r="D179" s="33"/>
      <c r="E179" s="36"/>
      <c r="F179" s="36"/>
    </row>
    <row r="180" spans="1:6" ht="15.75">
      <c r="A180" s="1"/>
      <c r="B180" s="36"/>
      <c r="C180" s="36"/>
      <c r="D180" s="33"/>
      <c r="E180" s="36"/>
      <c r="F180" s="36"/>
    </row>
    <row r="181" spans="1:6" ht="15.75">
      <c r="A181" s="1"/>
      <c r="B181" s="36"/>
      <c r="C181" s="36"/>
      <c r="D181" s="33"/>
      <c r="E181" s="36"/>
      <c r="F181" s="36"/>
    </row>
    <row r="182" spans="1:6" ht="15.75">
      <c r="A182" s="1"/>
      <c r="B182" s="36"/>
      <c r="C182" s="36"/>
      <c r="D182" s="33"/>
      <c r="E182" s="36"/>
      <c r="F182" s="36"/>
    </row>
    <row r="183" spans="1:6" ht="15.75">
      <c r="A183" s="1"/>
      <c r="B183" s="36"/>
      <c r="C183" s="36"/>
      <c r="D183" s="33"/>
      <c r="E183" s="36"/>
      <c r="F183" s="36"/>
    </row>
    <row r="184" spans="1:6" ht="15.75">
      <c r="A184" s="1"/>
      <c r="B184" s="36"/>
      <c r="C184" s="36"/>
      <c r="D184" s="33"/>
      <c r="E184" s="36"/>
      <c r="F184" s="36"/>
    </row>
    <row r="185" spans="1:6" ht="15.75">
      <c r="A185" s="1"/>
      <c r="B185" s="36"/>
      <c r="C185" s="36"/>
      <c r="D185" s="33"/>
      <c r="E185" s="36"/>
      <c r="F185" s="36"/>
    </row>
    <row r="186" spans="1:6" ht="15.75">
      <c r="A186" s="1"/>
      <c r="B186" s="36"/>
      <c r="C186" s="36"/>
      <c r="D186" s="33"/>
      <c r="E186" s="36"/>
      <c r="F186" s="36"/>
    </row>
    <row r="187" spans="1:6" ht="15.75">
      <c r="A187" s="1"/>
      <c r="B187" s="36"/>
      <c r="C187" s="36"/>
      <c r="D187" s="33"/>
      <c r="E187" s="36"/>
      <c r="F187" s="36"/>
    </row>
    <row r="188" spans="1:6" ht="15.75">
      <c r="A188" s="1"/>
      <c r="B188" s="36"/>
      <c r="C188" s="36"/>
      <c r="D188" s="33"/>
      <c r="E188" s="36"/>
      <c r="F188" s="36"/>
    </row>
    <row r="189" spans="1:6" ht="15.75">
      <c r="A189" s="1"/>
      <c r="B189" s="36"/>
      <c r="C189" s="36"/>
      <c r="D189" s="33"/>
      <c r="E189" s="36"/>
      <c r="F189" s="36"/>
    </row>
    <row r="190" spans="1:6" ht="15.75">
      <c r="A190" s="1"/>
      <c r="B190" s="36"/>
      <c r="C190" s="36"/>
      <c r="D190" s="33"/>
      <c r="E190" s="36"/>
      <c r="F190" s="36"/>
    </row>
    <row r="191" spans="1:6" ht="15.75">
      <c r="A191" s="1"/>
      <c r="B191" s="36"/>
      <c r="C191" s="36"/>
      <c r="D191" s="33"/>
      <c r="E191" s="36"/>
      <c r="F191" s="36"/>
    </row>
    <row r="192" spans="1:6" ht="15.75">
      <c r="A192" s="1"/>
      <c r="B192" s="36"/>
      <c r="C192" s="36"/>
      <c r="D192" s="33"/>
      <c r="E192" s="36"/>
      <c r="F192" s="36"/>
    </row>
    <row r="193" spans="1:6" ht="15.75">
      <c r="A193" s="1"/>
      <c r="B193" s="36"/>
      <c r="C193" s="36"/>
      <c r="D193" s="33"/>
      <c r="E193" s="36"/>
      <c r="F193" s="36"/>
    </row>
    <row r="194" spans="1:6" ht="15.75">
      <c r="A194" s="1"/>
      <c r="B194" s="36"/>
      <c r="C194" s="36"/>
      <c r="D194" s="33"/>
      <c r="E194" s="36"/>
      <c r="F194" s="36"/>
    </row>
    <row r="195" spans="1:6" ht="15.75">
      <c r="A195" s="1"/>
      <c r="B195" s="36"/>
      <c r="C195" s="36"/>
      <c r="D195" s="33"/>
      <c r="E195" s="36"/>
      <c r="F195" s="36"/>
    </row>
    <row r="196" spans="1:6" ht="15.75">
      <c r="A196" s="1"/>
      <c r="B196" s="36"/>
      <c r="C196" s="36"/>
      <c r="D196" s="33"/>
      <c r="E196" s="36"/>
      <c r="F196" s="36"/>
    </row>
    <row r="197" spans="1:6" ht="15.75">
      <c r="A197" s="1"/>
      <c r="B197" s="36"/>
      <c r="C197" s="36"/>
      <c r="D197" s="33"/>
      <c r="E197" s="36"/>
      <c r="F197" s="36"/>
    </row>
    <row r="198" spans="1:6" ht="15.75">
      <c r="A198" s="1"/>
      <c r="B198" s="36"/>
      <c r="C198" s="36"/>
      <c r="D198" s="33"/>
      <c r="E198" s="36"/>
      <c r="F198" s="36"/>
    </row>
    <row r="199" spans="1:6" ht="15.75">
      <c r="A199" s="1"/>
      <c r="B199" s="36"/>
      <c r="C199" s="36"/>
      <c r="D199" s="33"/>
      <c r="E199" s="36"/>
      <c r="F199" s="36"/>
    </row>
    <row r="200" spans="1:6" ht="15.75">
      <c r="A200" s="1"/>
      <c r="B200" s="36"/>
      <c r="C200" s="36"/>
      <c r="D200" s="33"/>
      <c r="E200" s="36"/>
      <c r="F200" s="36"/>
    </row>
    <row r="201" spans="1:6" ht="15.75">
      <c r="A201" s="1"/>
      <c r="B201" s="36"/>
      <c r="C201" s="36"/>
      <c r="D201" s="33"/>
      <c r="E201" s="36"/>
      <c r="F201" s="36"/>
    </row>
    <row r="202" spans="1:6" ht="15.75">
      <c r="A202" s="1"/>
      <c r="B202" s="36"/>
      <c r="C202" s="36"/>
      <c r="D202" s="33"/>
      <c r="E202" s="36"/>
      <c r="F202" s="36"/>
    </row>
    <row r="203" spans="1:6" ht="15.75">
      <c r="A203" s="1"/>
      <c r="B203" s="36"/>
      <c r="C203" s="36"/>
      <c r="D203" s="33"/>
      <c r="E203" s="36"/>
      <c r="F203" s="36"/>
    </row>
    <row r="204" spans="1:6" ht="15.75">
      <c r="A204" s="1"/>
      <c r="B204" s="36"/>
      <c r="C204" s="36"/>
      <c r="D204" s="33"/>
      <c r="E204" s="36"/>
      <c r="F204" s="36"/>
    </row>
    <row r="205" spans="1:6" ht="15.75">
      <c r="A205" s="1"/>
      <c r="B205" s="36"/>
      <c r="C205" s="36"/>
      <c r="D205" s="33"/>
      <c r="E205" s="36"/>
      <c r="F205" s="36"/>
    </row>
    <row r="206" spans="1:6" ht="15.75">
      <c r="A206" s="1"/>
      <c r="B206" s="36"/>
      <c r="C206" s="36"/>
      <c r="D206" s="33"/>
      <c r="E206" s="36"/>
      <c r="F206" s="36"/>
    </row>
    <row r="207" spans="1:6" ht="15.75">
      <c r="A207" s="1"/>
      <c r="B207" s="36"/>
      <c r="C207" s="36"/>
      <c r="D207" s="33"/>
      <c r="E207" s="36"/>
      <c r="F207" s="36"/>
    </row>
    <row r="208" spans="1:6" ht="15.75">
      <c r="A208" s="1"/>
      <c r="B208" s="36"/>
      <c r="C208" s="36"/>
      <c r="D208" s="33"/>
      <c r="E208" s="36"/>
      <c r="F208" s="36"/>
    </row>
    <row r="209" spans="1:6" ht="15.75">
      <c r="A209" s="1"/>
      <c r="B209" s="36"/>
      <c r="C209" s="36"/>
      <c r="D209" s="33"/>
      <c r="E209" s="36"/>
      <c r="F209" s="36"/>
    </row>
    <row r="210" spans="1:6" ht="15.75">
      <c r="A210" s="1"/>
      <c r="B210" s="36"/>
      <c r="C210" s="36"/>
      <c r="D210" s="33"/>
      <c r="E210" s="36"/>
      <c r="F210" s="36"/>
    </row>
    <row r="211" spans="1:6" ht="15.75">
      <c r="A211" s="1"/>
      <c r="B211" s="36"/>
      <c r="C211" s="36"/>
      <c r="D211" s="33"/>
      <c r="E211" s="36"/>
      <c r="F211" s="36"/>
    </row>
    <row r="212" spans="1:6" ht="15.75">
      <c r="A212" s="1"/>
      <c r="B212" s="36"/>
      <c r="C212" s="36"/>
      <c r="D212" s="33"/>
      <c r="E212" s="36"/>
      <c r="F212" s="36"/>
    </row>
    <row r="213" spans="1:6" ht="15.75">
      <c r="A213" s="1"/>
      <c r="B213" s="36"/>
      <c r="C213" s="36"/>
      <c r="D213" s="33"/>
      <c r="E213" s="36"/>
      <c r="F213" s="36"/>
    </row>
    <row r="214" spans="1:6" ht="15.75">
      <c r="A214" s="1"/>
      <c r="B214" s="36"/>
      <c r="C214" s="36"/>
      <c r="D214" s="33"/>
      <c r="E214" s="36"/>
      <c r="F214" s="36"/>
    </row>
    <row r="215" spans="1:6" ht="15.75">
      <c r="A215" s="1"/>
      <c r="B215" s="36"/>
      <c r="C215" s="36"/>
      <c r="D215" s="33"/>
      <c r="E215" s="36"/>
      <c r="F215" s="36"/>
    </row>
    <row r="216" spans="1:6" ht="15.75">
      <c r="A216" s="1"/>
      <c r="B216" s="36"/>
      <c r="C216" s="36"/>
      <c r="D216" s="33"/>
      <c r="E216" s="36"/>
      <c r="F216" s="36"/>
    </row>
    <row r="217" spans="1:6" ht="15.75">
      <c r="A217" s="1"/>
      <c r="B217" s="36"/>
      <c r="C217" s="36"/>
      <c r="D217" s="33"/>
      <c r="E217" s="36"/>
      <c r="F217" s="36"/>
    </row>
    <row r="218" spans="1:6" ht="15.75">
      <c r="A218" s="1"/>
      <c r="B218" s="36"/>
      <c r="C218" s="36"/>
      <c r="D218" s="33"/>
      <c r="E218" s="36"/>
      <c r="F218" s="36"/>
    </row>
    <row r="219" spans="1:6" ht="15.75">
      <c r="A219" s="1"/>
      <c r="B219" s="36"/>
      <c r="C219" s="36"/>
      <c r="D219" s="33"/>
      <c r="E219" s="36"/>
      <c r="F219" s="36"/>
    </row>
    <row r="220" spans="1:6" ht="15.75">
      <c r="A220" s="1"/>
      <c r="B220" s="36"/>
      <c r="C220" s="36"/>
      <c r="D220" s="33"/>
      <c r="E220" s="36"/>
      <c r="F220" s="36"/>
    </row>
    <row r="221" spans="1:6" ht="15.75">
      <c r="A221" s="1"/>
      <c r="B221" s="36"/>
      <c r="C221" s="36"/>
      <c r="D221" s="33"/>
      <c r="E221" s="36"/>
      <c r="F221" s="36"/>
    </row>
    <row r="222" spans="1:6" ht="15.75">
      <c r="A222" s="1"/>
      <c r="B222" s="36"/>
      <c r="C222" s="36"/>
      <c r="D222" s="33"/>
      <c r="E222" s="36"/>
      <c r="F222" s="36"/>
    </row>
    <row r="223" spans="1:6" ht="15.75">
      <c r="A223" s="1"/>
      <c r="B223" s="36"/>
      <c r="C223" s="36"/>
      <c r="D223" s="33"/>
      <c r="E223" s="36"/>
      <c r="F223" s="36"/>
    </row>
    <row r="224" spans="1:6" ht="15.75">
      <c r="A224" s="1"/>
      <c r="B224" s="36"/>
      <c r="C224" s="36"/>
      <c r="D224" s="33"/>
      <c r="E224" s="36"/>
      <c r="F224" s="36"/>
    </row>
    <row r="225" spans="1:6" ht="15.75">
      <c r="A225" s="1"/>
      <c r="B225" s="36"/>
      <c r="C225" s="36"/>
      <c r="D225" s="33"/>
      <c r="E225" s="36"/>
      <c r="F225" s="36"/>
    </row>
    <row r="226" spans="1:6" ht="15.75">
      <c r="A226" s="1"/>
      <c r="B226" s="36"/>
      <c r="C226" s="36"/>
      <c r="D226" s="33"/>
      <c r="E226" s="36"/>
      <c r="F226" s="36"/>
    </row>
    <row r="227" spans="1:6" ht="15.75">
      <c r="A227" s="1"/>
      <c r="B227" s="36"/>
      <c r="C227" s="36"/>
      <c r="D227" s="33"/>
      <c r="E227" s="36"/>
      <c r="F227" s="36"/>
    </row>
    <row r="228" spans="1:6" ht="15.75">
      <c r="A228" s="1"/>
      <c r="B228" s="36"/>
      <c r="C228" s="36"/>
      <c r="D228" s="33"/>
      <c r="E228" s="36"/>
      <c r="F228" s="36"/>
    </row>
    <row r="229" spans="1:6" ht="15.75">
      <c r="A229" s="1"/>
      <c r="B229" s="36"/>
      <c r="C229" s="36"/>
      <c r="D229" s="33"/>
      <c r="E229" s="36"/>
      <c r="F229" s="36"/>
    </row>
    <row r="230" spans="1:6" ht="15.75">
      <c r="A230" s="1"/>
      <c r="B230" s="36"/>
      <c r="C230" s="36"/>
      <c r="D230" s="33"/>
      <c r="E230" s="36"/>
      <c r="F230" s="36"/>
    </row>
    <row r="231" spans="1:6" ht="15.75">
      <c r="A231" s="1"/>
      <c r="B231" s="36"/>
      <c r="C231" s="36"/>
      <c r="D231" s="33"/>
      <c r="E231" s="36"/>
      <c r="F231" s="36"/>
    </row>
    <row r="232" spans="1:6" ht="15.75">
      <c r="A232" s="1"/>
      <c r="B232" s="36"/>
      <c r="C232" s="36"/>
      <c r="D232" s="33"/>
      <c r="E232" s="36"/>
      <c r="F232" s="36"/>
    </row>
    <row r="233" spans="1:6" ht="15.75">
      <c r="A233" s="1"/>
      <c r="B233" s="36"/>
      <c r="C233" s="36"/>
      <c r="D233" s="33"/>
      <c r="E233" s="36"/>
      <c r="F233" s="36"/>
    </row>
    <row r="234" spans="1:6" ht="15.75">
      <c r="A234" s="1"/>
      <c r="B234" s="36"/>
      <c r="C234" s="36"/>
      <c r="D234" s="33"/>
      <c r="E234" s="36"/>
      <c r="F234" s="36"/>
    </row>
    <row r="235" spans="1:6" ht="15.75">
      <c r="A235" s="1"/>
      <c r="B235" s="36"/>
      <c r="C235" s="36"/>
      <c r="D235" s="33"/>
      <c r="E235" s="36"/>
      <c r="F235" s="36"/>
    </row>
    <row r="236" spans="1:6" ht="15.75">
      <c r="A236" s="1"/>
      <c r="B236" s="36"/>
      <c r="C236" s="36"/>
      <c r="D236" s="33"/>
      <c r="E236" s="36"/>
      <c r="F236" s="36"/>
    </row>
    <row r="237" spans="1:6" ht="15.75">
      <c r="A237" s="1"/>
      <c r="B237" s="36"/>
      <c r="C237" s="36"/>
      <c r="D237" s="33"/>
      <c r="E237" s="36"/>
      <c r="F237" s="36"/>
    </row>
    <row r="238" spans="1:6" ht="15.75">
      <c r="A238" s="1"/>
      <c r="B238" s="36"/>
      <c r="C238" s="36"/>
      <c r="D238" s="33"/>
      <c r="E238" s="36"/>
      <c r="F238" s="36"/>
    </row>
    <row r="239" spans="1:6" ht="15.75">
      <c r="A239" s="1"/>
      <c r="B239" s="36"/>
      <c r="C239" s="36"/>
      <c r="D239" s="33"/>
      <c r="E239" s="36"/>
      <c r="F239" s="36"/>
    </row>
    <row r="240" spans="1:6" ht="15.75">
      <c r="A240" s="1"/>
      <c r="B240" s="36"/>
      <c r="C240" s="36"/>
      <c r="D240" s="33"/>
      <c r="E240" s="36"/>
      <c r="F240" s="36"/>
    </row>
    <row r="241" spans="1:6" ht="15.75">
      <c r="A241" s="1"/>
      <c r="B241" s="36"/>
      <c r="C241" s="36"/>
      <c r="D241" s="33"/>
      <c r="E241" s="36"/>
      <c r="F241" s="36"/>
    </row>
    <row r="242" spans="1:6" ht="15.75">
      <c r="A242" s="1"/>
      <c r="B242" s="36"/>
      <c r="C242" s="36"/>
      <c r="D242" s="33"/>
      <c r="E242" s="36"/>
      <c r="F242" s="36"/>
    </row>
    <row r="243" spans="1:6" ht="15.75">
      <c r="A243" s="1"/>
      <c r="B243" s="36"/>
      <c r="C243" s="36"/>
      <c r="D243" s="33"/>
      <c r="E243" s="36"/>
      <c r="F243" s="36"/>
    </row>
    <row r="244" spans="1:6" ht="15.75">
      <c r="A244" s="1"/>
      <c r="B244" s="36"/>
      <c r="C244" s="36"/>
      <c r="D244" s="33"/>
      <c r="E244" s="36"/>
      <c r="F244" s="36"/>
    </row>
    <row r="245" spans="1:6" ht="15.75">
      <c r="A245" s="1"/>
      <c r="B245" s="36"/>
      <c r="C245" s="36"/>
      <c r="D245" s="33"/>
      <c r="E245" s="36"/>
      <c r="F245" s="36"/>
    </row>
    <row r="246" spans="1:6" ht="15.75">
      <c r="A246" s="1"/>
      <c r="B246" s="36"/>
      <c r="C246" s="36"/>
      <c r="D246" s="33"/>
      <c r="E246" s="36"/>
      <c r="F246" s="36"/>
    </row>
    <row r="247" spans="1:6" ht="15.75">
      <c r="A247" s="1"/>
      <c r="B247" s="36"/>
      <c r="C247" s="36"/>
      <c r="D247" s="33"/>
      <c r="E247" s="36"/>
      <c r="F247" s="36"/>
    </row>
    <row r="248" spans="1:6" ht="15.75">
      <c r="A248" s="1"/>
      <c r="B248" s="36"/>
      <c r="C248" s="36"/>
      <c r="D248" s="33"/>
      <c r="E248" s="36"/>
      <c r="F248" s="36"/>
    </row>
    <row r="249" spans="1:6" ht="15.75">
      <c r="A249" s="1"/>
      <c r="B249" s="36"/>
      <c r="C249" s="36"/>
      <c r="D249" s="33"/>
      <c r="E249" s="36"/>
      <c r="F249" s="36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F9"/>
    </sheetView>
  </sheetViews>
  <sheetFormatPr defaultColWidth="11.421875" defaultRowHeight="15"/>
  <cols>
    <col min="1" max="2" width="11.421875" style="0" customWidth="1"/>
  </cols>
  <sheetData>
    <row r="1" spans="1:6" ht="15.75">
      <c r="A1" s="72" t="s">
        <v>150</v>
      </c>
      <c r="B1" s="72"/>
      <c r="C1" s="72"/>
      <c r="D1" s="72" t="s">
        <v>151</v>
      </c>
      <c r="E1" s="72"/>
      <c r="F1" s="72"/>
    </row>
    <row r="2" spans="1:6" ht="15.75">
      <c r="A2" s="73" t="s">
        <v>152</v>
      </c>
      <c r="B2" s="73"/>
      <c r="C2" s="50">
        <f>SUM(C3:C6)</f>
        <v>67154.89</v>
      </c>
      <c r="D2" s="73" t="s">
        <v>159</v>
      </c>
      <c r="E2" s="73"/>
      <c r="F2" s="50">
        <f>F3+F4</f>
        <v>40452.6335378658</v>
      </c>
    </row>
    <row r="3" spans="1:6" ht="15.75">
      <c r="A3" s="74" t="s">
        <v>153</v>
      </c>
      <c r="B3" s="74"/>
      <c r="C3" s="38">
        <f>'Inversiones I'!D39</f>
        <v>23967</v>
      </c>
      <c r="D3" s="74" t="s">
        <v>160</v>
      </c>
      <c r="E3" s="74"/>
      <c r="F3" s="38">
        <f>'Inversiones II'!D2</f>
        <v>3006</v>
      </c>
    </row>
    <row r="4" spans="1:6" ht="15.75">
      <c r="A4" s="74" t="s">
        <v>154</v>
      </c>
      <c r="B4" s="74"/>
      <c r="C4" s="38">
        <f>-'Inversiones II'!D46</f>
        <v>-3158.2</v>
      </c>
      <c r="D4" s="74" t="s">
        <v>161</v>
      </c>
      <c r="E4" s="74"/>
      <c r="F4" s="38">
        <f>PyG!B20</f>
        <v>37446.6335378658</v>
      </c>
    </row>
    <row r="5" spans="1:6" ht="15.75">
      <c r="A5" s="74" t="s">
        <v>155</v>
      </c>
      <c r="B5" s="74"/>
      <c r="C5" s="38">
        <f>'Inversiones II'!D8</f>
        <v>2400</v>
      </c>
      <c r="D5" s="73" t="s">
        <v>162</v>
      </c>
      <c r="E5" s="73"/>
      <c r="F5" s="50">
        <f>76851.78-F7</f>
        <v>59626.88372287048</v>
      </c>
    </row>
    <row r="6" spans="1:6" ht="15.75">
      <c r="A6" s="74" t="s">
        <v>156</v>
      </c>
      <c r="B6" s="74"/>
      <c r="C6" s="38">
        <f>'Inversiones II'!D12-'Inversiones II'!D8</f>
        <v>43946.09</v>
      </c>
      <c r="D6" s="73" t="s">
        <v>163</v>
      </c>
      <c r="E6" s="73"/>
      <c r="F6" s="50">
        <f>F7+F8</f>
        <v>37388.46818213417</v>
      </c>
    </row>
    <row r="7" spans="1:6" ht="15.75">
      <c r="A7" s="73" t="s">
        <v>157</v>
      </c>
      <c r="B7" s="73"/>
      <c r="C7" s="50">
        <f>C8</f>
        <v>70313.09</v>
      </c>
      <c r="D7" s="74" t="s">
        <v>164</v>
      </c>
      <c r="E7" s="74"/>
      <c r="F7" s="38">
        <f>'Gastos Fros'!H21</f>
        <v>17224.896277129516</v>
      </c>
    </row>
    <row r="8" spans="1:6" ht="15.75">
      <c r="A8" s="74" t="s">
        <v>158</v>
      </c>
      <c r="B8" s="74"/>
      <c r="C8" s="38">
        <f>'Inversiones I'!D41</f>
        <v>70313.09</v>
      </c>
      <c r="D8" s="74" t="s">
        <v>165</v>
      </c>
      <c r="E8" s="74"/>
      <c r="F8" s="38">
        <f>-PyG!B18</f>
        <v>20163.571905004657</v>
      </c>
    </row>
    <row r="9" spans="1:6" ht="15.75">
      <c r="A9" s="1"/>
      <c r="B9" s="1"/>
      <c r="C9" s="51">
        <f>C2+C7</f>
        <v>137467.97999999998</v>
      </c>
      <c r="D9" s="1"/>
      <c r="E9" s="1"/>
      <c r="F9" s="51">
        <f>F2+F5+F6</f>
        <v>137467.98544287044</v>
      </c>
    </row>
  </sheetData>
  <mergeCells count="16">
    <mergeCell ref="A6:B6"/>
    <mergeCell ref="A7:B7"/>
    <mergeCell ref="A8:B8"/>
    <mergeCell ref="D2:E2"/>
    <mergeCell ref="D3:E3"/>
    <mergeCell ref="D4:E4"/>
    <mergeCell ref="D5:E5"/>
    <mergeCell ref="D6:E6"/>
    <mergeCell ref="D7:E7"/>
    <mergeCell ref="D8:E8"/>
    <mergeCell ref="A5:B5"/>
    <mergeCell ref="A1:C1"/>
    <mergeCell ref="D1:F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Angelika</cp:lastModifiedBy>
  <dcterms:created xsi:type="dcterms:W3CDTF">2012-02-19T18:27:52Z</dcterms:created>
  <dcterms:modified xsi:type="dcterms:W3CDTF">2012-09-21T09:19:36Z</dcterms:modified>
  <cp:category/>
  <cp:version/>
  <cp:contentType/>
  <cp:contentStatus/>
</cp:coreProperties>
</file>