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19440" windowHeight="7875" activeTab="1"/>
  </bookViews>
  <sheets>
    <sheet name="Entrada de datos" sheetId="1" r:id="rId1"/>
    <sheet name="Cálculos" sheetId="2" r:id="rId2"/>
    <sheet name="Resultados" sheetId="3" r:id="rId3"/>
    <sheet name="modificaciones" sheetId="5" r:id="rId4"/>
    <sheet name="Hoja1" sheetId="6" r:id="rId5"/>
  </sheets>
  <calcPr calcId="125725"/>
</workbook>
</file>

<file path=xl/calcChain.xml><?xml version="1.0" encoding="utf-8"?>
<calcChain xmlns="http://schemas.openxmlformats.org/spreadsheetml/2006/main">
  <c r="E67" i="2"/>
  <c r="E68"/>
  <c r="E69"/>
  <c r="E70"/>
  <c r="E71"/>
  <c r="E72"/>
  <c r="E73"/>
  <c r="E74"/>
  <c r="E66"/>
  <c r="G31" l="1"/>
  <c r="B54" l="1"/>
  <c r="H15" i="6" l="1"/>
  <c r="H11"/>
  <c r="B61" i="2" l="1"/>
  <c r="B60"/>
  <c r="K4" l="1"/>
  <c r="F16" l="1"/>
  <c r="F15"/>
  <c r="K18"/>
  <c r="K17"/>
  <c r="B5"/>
  <c r="K2"/>
  <c r="C8" s="1"/>
  <c r="B53" s="1"/>
  <c r="B3" l="1"/>
  <c r="B2"/>
  <c r="B4" l="1"/>
  <c r="B16"/>
  <c r="B15"/>
  <c r="K19"/>
  <c r="E56" l="1"/>
  <c r="E57"/>
  <c r="E60"/>
  <c r="E61"/>
  <c r="J43" l="1"/>
  <c r="E41" l="1"/>
  <c r="E42"/>
  <c r="E43"/>
  <c r="E44"/>
  <c r="E45"/>
  <c r="E46"/>
  <c r="E47"/>
  <c r="E48"/>
  <c r="E40"/>
  <c r="D41"/>
  <c r="D42"/>
  <c r="D43"/>
  <c r="D44"/>
  <c r="D45"/>
  <c r="D46"/>
  <c r="D47"/>
  <c r="D48"/>
  <c r="D40"/>
  <c r="C41"/>
  <c r="C42"/>
  <c r="C43"/>
  <c r="C44"/>
  <c r="C45"/>
  <c r="C46"/>
  <c r="C47"/>
  <c r="C48"/>
  <c r="C40"/>
  <c r="B42"/>
  <c r="B43"/>
  <c r="B44"/>
  <c r="B45"/>
  <c r="B46"/>
  <c r="B47"/>
  <c r="B48"/>
  <c r="B41"/>
  <c r="B40"/>
  <c r="H31" l="1"/>
  <c r="H27"/>
  <c r="K12" l="1"/>
  <c r="K11" l="1"/>
  <c r="K10"/>
  <c r="K9"/>
  <c r="K8"/>
  <c r="E9"/>
  <c r="D11"/>
  <c r="D14"/>
  <c r="K13" l="1"/>
  <c r="B27"/>
  <c r="C27"/>
  <c r="E15"/>
  <c r="E11"/>
  <c r="E53"/>
  <c r="D26"/>
  <c r="D33"/>
  <c r="K14"/>
  <c r="E16"/>
  <c r="K20"/>
  <c r="D10"/>
  <c r="E14"/>
  <c r="E8"/>
  <c r="D12"/>
  <c r="E13"/>
  <c r="B32" l="1"/>
  <c r="C32"/>
  <c r="B31"/>
  <c r="C31"/>
  <c r="B26"/>
  <c r="C26"/>
  <c r="B34"/>
  <c r="C34"/>
  <c r="B29"/>
  <c r="C29"/>
  <c r="B33"/>
  <c r="C33"/>
  <c r="B14"/>
  <c r="B10"/>
  <c r="B9"/>
  <c r="B11"/>
  <c r="B8"/>
  <c r="K21"/>
  <c r="B13"/>
  <c r="B12"/>
  <c r="D34"/>
  <c r="E12"/>
  <c r="F9"/>
  <c r="D27" s="1"/>
  <c r="E10"/>
  <c r="F13"/>
  <c r="K15" l="1"/>
  <c r="C55"/>
  <c r="F27"/>
  <c r="F31"/>
  <c r="E32"/>
  <c r="E28"/>
  <c r="I26"/>
  <c r="F40" s="1"/>
  <c r="G40" s="1"/>
  <c r="B66" s="1"/>
  <c r="D58"/>
  <c r="D54"/>
  <c r="E54" s="1"/>
  <c r="C59"/>
  <c r="I34"/>
  <c r="F48" s="1"/>
  <c r="G48" s="1"/>
  <c r="B74" s="1"/>
  <c r="E58"/>
  <c r="I33"/>
  <c r="F47" s="1"/>
  <c r="G47" s="1"/>
  <c r="B73" s="1"/>
  <c r="B28"/>
  <c r="C28"/>
  <c r="B30"/>
  <c r="C30"/>
  <c r="I29"/>
  <c r="F43" s="1"/>
  <c r="G43" s="1"/>
  <c r="B69" s="1"/>
  <c r="I31"/>
  <c r="F45" s="1"/>
  <c r="G45" s="1"/>
  <c r="B71" s="1"/>
  <c r="I27"/>
  <c r="F41" s="1"/>
  <c r="G41" s="1"/>
  <c r="B67" s="1"/>
  <c r="H40"/>
  <c r="F53" s="1"/>
  <c r="G53" s="1"/>
  <c r="C66"/>
  <c r="F66"/>
  <c r="H48"/>
  <c r="F61" s="1"/>
  <c r="G61" s="1"/>
  <c r="B13" i="3" s="1"/>
  <c r="F74" i="2"/>
  <c r="H13" i="3" s="1"/>
  <c r="E13" l="1"/>
  <c r="C13"/>
  <c r="F73" i="2"/>
  <c r="H12" i="3" s="1"/>
  <c r="H5"/>
  <c r="F75" i="2"/>
  <c r="H14" i="3" s="1"/>
  <c r="F5"/>
  <c r="G5" s="1"/>
  <c r="G14" s="1"/>
  <c r="C75" i="2"/>
  <c r="F14" i="3" s="1"/>
  <c r="B5"/>
  <c r="G62" i="2"/>
  <c r="B14" i="3" s="1"/>
  <c r="H45" i="2"/>
  <c r="F58" s="1"/>
  <c r="G58" s="1"/>
  <c r="B10" i="3" s="1"/>
  <c r="H47" i="2"/>
  <c r="F60" s="1"/>
  <c r="G60" s="1"/>
  <c r="B12" i="3" s="1"/>
  <c r="C74" i="2"/>
  <c r="F13" i="3" s="1"/>
  <c r="G13" s="1"/>
  <c r="C73" i="2"/>
  <c r="F12" i="3" s="1"/>
  <c r="G12" s="1"/>
  <c r="C71" i="2"/>
  <c r="F10" i="3" s="1"/>
  <c r="G10" s="1"/>
  <c r="F71" i="2"/>
  <c r="H10" i="3" s="1"/>
  <c r="I30" i="2"/>
  <c r="F44" s="1"/>
  <c r="G44" s="1"/>
  <c r="B70" s="1"/>
  <c r="H43"/>
  <c r="F56" s="1"/>
  <c r="G56" s="1"/>
  <c r="B8" i="3" s="1"/>
  <c r="F69" i="2"/>
  <c r="H8" i="3" s="1"/>
  <c r="H41" i="2"/>
  <c r="F54" s="1"/>
  <c r="F67"/>
  <c r="H6" i="3" s="1"/>
  <c r="I32" i="2"/>
  <c r="F46" s="1"/>
  <c r="G46" s="1"/>
  <c r="I28"/>
  <c r="F42" s="1"/>
  <c r="G42" s="1"/>
  <c r="E59"/>
  <c r="E55"/>
  <c r="H49"/>
  <c r="H42" l="1"/>
  <c r="B68"/>
  <c r="H46"/>
  <c r="B72"/>
  <c r="E10" i="3"/>
  <c r="C10"/>
  <c r="E5"/>
  <c r="E14" s="1"/>
  <c r="C5"/>
  <c r="C14" s="1"/>
  <c r="E8"/>
  <c r="C8"/>
  <c r="E12"/>
  <c r="C12"/>
  <c r="K7"/>
  <c r="L7" s="1"/>
  <c r="G54" i="2"/>
  <c r="B6" i="3" s="1"/>
  <c r="F59" i="2"/>
  <c r="G59" s="1"/>
  <c r="B11" i="3" s="1"/>
  <c r="C67" i="2"/>
  <c r="F6" i="3" s="1"/>
  <c r="G6" s="1"/>
  <c r="C69" i="2"/>
  <c r="F8" i="3" s="1"/>
  <c r="G8" s="1"/>
  <c r="F55" i="2"/>
  <c r="H44"/>
  <c r="F57" s="1"/>
  <c r="G57" s="1"/>
  <c r="B9" i="3" s="1"/>
  <c r="F70" i="2"/>
  <c r="H9" i="3" s="1"/>
  <c r="F68" i="2"/>
  <c r="H7" i="3" s="1"/>
  <c r="F72" i="2"/>
  <c r="H11" i="3" s="1"/>
  <c r="D14" l="1"/>
  <c r="K5" s="1"/>
  <c r="L5" s="1"/>
  <c r="C6"/>
  <c r="E9"/>
  <c r="C9"/>
  <c r="E11"/>
  <c r="C11"/>
  <c r="E6"/>
  <c r="C70" i="2"/>
  <c r="F9" i="3" s="1"/>
  <c r="G9" s="1"/>
  <c r="G55" i="2"/>
  <c r="B7" i="3" s="1"/>
  <c r="C72" i="2"/>
  <c r="F11" i="3" s="1"/>
  <c r="G11" s="1"/>
  <c r="C68" i="2"/>
  <c r="F7" i="3" s="1"/>
  <c r="G7" s="1"/>
  <c r="K6"/>
  <c r="L6" s="1"/>
  <c r="C7" l="1"/>
  <c r="E7"/>
</calcChain>
</file>

<file path=xl/sharedStrings.xml><?xml version="1.0" encoding="utf-8"?>
<sst xmlns="http://schemas.openxmlformats.org/spreadsheetml/2006/main" count="187" uniqueCount="115">
  <si>
    <t>Entrada de datos</t>
  </si>
  <si>
    <t>K13 Cerda en reposo por primera vez</t>
  </si>
  <si>
    <t>K14 Cerda adulta en EC</t>
  </si>
  <si>
    <t>K10 Cerda gestante</t>
  </si>
  <si>
    <t>K6 Verracos jóvenes</t>
  </si>
  <si>
    <t>K7 Verracos adultos</t>
  </si>
  <si>
    <t>Datos de la piara</t>
  </si>
  <si>
    <t>Peso metabólico medio</t>
  </si>
  <si>
    <t>Cantidad de individuos</t>
  </si>
  <si>
    <t>Ganancia de peso media diaria</t>
  </si>
  <si>
    <t>Lechones</t>
  </si>
  <si>
    <t>Peso medio al nacimiento</t>
  </si>
  <si>
    <t>Tiempos</t>
  </si>
  <si>
    <t>Duración del período productivo</t>
  </si>
  <si>
    <t>Cálculo de Necesidades Energéticas</t>
  </si>
  <si>
    <t>Energía metabolizable para ganancia de reservas</t>
  </si>
  <si>
    <t>Energía metabolizable para ganancia del peso de la ubre</t>
  </si>
  <si>
    <t>Necesidades de energía no productiva</t>
  </si>
  <si>
    <t>Necesidades de energía productiva</t>
  </si>
  <si>
    <t>Necesidades para la gestación</t>
  </si>
  <si>
    <t>Energía metabolizable para el mantenimiento (MJ/día)</t>
  </si>
  <si>
    <t>Energía metabolizable para la termorregulación (MJ/día)</t>
  </si>
  <si>
    <t>Energía metabolizable para el crecimiento (MJ/día)</t>
  </si>
  <si>
    <t>Peso medio al destete</t>
  </si>
  <si>
    <t>Energía metabolizable para la producción de leche (MJ/día)</t>
  </si>
  <si>
    <t>Energía metabolizable para crecimiento del feto y anexos (MJ/día)</t>
  </si>
  <si>
    <t>Datos del alimento</t>
  </si>
  <si>
    <t>Energía metabolizable (MJ/kg)</t>
  </si>
  <si>
    <t>Energía bruta del alimento (MJ/Kg)</t>
  </si>
  <si>
    <t>Digestibilidad de la materia seca (%)</t>
  </si>
  <si>
    <t>Proteína bruta (%)</t>
  </si>
  <si>
    <t>Nitrógeno retenido en el crecimiento (kg/año)</t>
  </si>
  <si>
    <t>Nitrógeno retenido en el crecimiento de los lechones lactantes (kg/año)</t>
  </si>
  <si>
    <t>Nitrógeno retenido en la gestación (kg/año)</t>
  </si>
  <si>
    <t>Nitrógeno retenido total (kg/año)</t>
  </si>
  <si>
    <t>Nitrógeno total excretado (kg/año)</t>
  </si>
  <si>
    <t>Cálculos sobre el alimento</t>
  </si>
  <si>
    <t>Se considera que la PB tiene un 16% de N, lo que</t>
  </si>
  <si>
    <t>supone un factor de conversión de 1/6,25 (kg de</t>
  </si>
  <si>
    <t>N por kg de Proteína Bruta)</t>
  </si>
  <si>
    <t>Los lechones lactantes retienen 0,155 kg de proteína</t>
  </si>
  <si>
    <t>bruta por cada kg de ganancia de peso.</t>
  </si>
  <si>
    <t xml:space="preserve">Se asume que el contenido de proteína del lechón </t>
  </si>
  <si>
    <t xml:space="preserve"> </t>
  </si>
  <si>
    <t>recién nacido es de un 20 %.</t>
  </si>
  <si>
    <t>Duración de la gestación</t>
  </si>
  <si>
    <t xml:space="preserve">Total = </t>
  </si>
  <si>
    <t>Retención y excreción de Nitrógeno</t>
  </si>
  <si>
    <t>Fracción de la energía bruta perdida en la orina = 0,02</t>
  </si>
  <si>
    <t>Proporción de cenizas en el estiercol en porcino = 0,02</t>
  </si>
  <si>
    <t>Excreción de Sólidos Volátiles.                                  Emisión de metano por fermentación entérica</t>
  </si>
  <si>
    <t>Tasa de conversión de metano (%)</t>
  </si>
  <si>
    <t>Totales =</t>
  </si>
  <si>
    <t>Emisión de metano por fermentación entérica      (kg metano/año)</t>
  </si>
  <si>
    <t>Número total de cerdas adultas (K10+K11+K12)</t>
  </si>
  <si>
    <t>Tasa de reposición (tanto por cien)</t>
  </si>
  <si>
    <t>Intervalo destete-cubrición fértil (días)</t>
  </si>
  <si>
    <t>Duración de la lactación (días)</t>
  </si>
  <si>
    <t>Número total de verracos</t>
  </si>
  <si>
    <t>Días desde alta a 1ª cubrición fértil</t>
  </si>
  <si>
    <t>Número total de hembras jóvenes</t>
  </si>
  <si>
    <t>Peso final estimado</t>
  </si>
  <si>
    <t>Peso inicial estimado</t>
  </si>
  <si>
    <t>Datos de lechones</t>
  </si>
  <si>
    <t>K12 Cerda criando</t>
  </si>
  <si>
    <t>K8 Cerda joven no cubierta nunca en EC</t>
  </si>
  <si>
    <t>K9 Cerda joven gestante</t>
  </si>
  <si>
    <t>K11 Cerda joven criando</t>
  </si>
  <si>
    <t>Emisión de óxido nitroso (kg N2O/año)</t>
  </si>
  <si>
    <t>Emisión de metano (kg CH4/año)</t>
  </si>
  <si>
    <t>Modificaciones desde la versión anterior</t>
  </si>
  <si>
    <t>Cambios de la 12 a la 13</t>
  </si>
  <si>
    <t>Se estima la GMD de las hembras jóvenes no cubiertas nunca, y a partir de ahí se estima el peso inicial (casilla c8)</t>
  </si>
  <si>
    <t>La GMD de los lechones para el cálculo de la EM para la producción de leche va en gramos en la fórmula</t>
  </si>
  <si>
    <t>Ganancia media diaria del lechón (kg)</t>
  </si>
  <si>
    <t>Cambios de la 13 a la 14</t>
  </si>
  <si>
    <t>Se modifica la EM termorregulación según FEDNA (2013)</t>
  </si>
  <si>
    <t>Temperatura</t>
  </si>
  <si>
    <t>Temperatura media anual</t>
  </si>
  <si>
    <t>Cambios de la 15 a la 16</t>
  </si>
  <si>
    <t>Me doy cuenta de que no estoy sacando cantidades totales sino cantidades por plaza. Lo cambio.</t>
  </si>
  <si>
    <t>Necesidades energéticas diarias por animal</t>
  </si>
  <si>
    <t>Necesidades energéticas totales diarias por animal (MJ/día)</t>
  </si>
  <si>
    <t>Ingestión de materia seca diaria por animal (Kg/día)</t>
  </si>
  <si>
    <t>Materia seca total anual por animal(Kg/año)</t>
  </si>
  <si>
    <t>Nitrógeno ingerido anual por animal(kg/año)</t>
  </si>
  <si>
    <t>Datos por animal</t>
  </si>
  <si>
    <t>Nitrógeno total excretado por cada categoría (kg/año)</t>
  </si>
  <si>
    <t>Total de nitrógeno excretado en la explotación =</t>
  </si>
  <si>
    <t>Excreción anual de Sólidos Volátiles por animal(kg MS/año)</t>
  </si>
  <si>
    <t>Excreción anual de Sólidos Volátiles por categoría (kg MS/año)</t>
  </si>
  <si>
    <t>Total en la explotación =</t>
  </si>
  <si>
    <t>Emisión de metano por fermentación entérica por animal(kg metano/año)</t>
  </si>
  <si>
    <t>Emisión de metano por fermentación entérica por categoría(kg metano/año)</t>
  </si>
  <si>
    <t>Total explotación =</t>
  </si>
  <si>
    <t>Nitrógeno total excretado por categoría (kg/año)</t>
  </si>
  <si>
    <t>Resultados</t>
  </si>
  <si>
    <t>Cambios en 24/7</t>
  </si>
  <si>
    <t>Cambio las entradas de los lechones para tener cantidades por parto</t>
  </si>
  <si>
    <t>Lechones nacidos por parto</t>
  </si>
  <si>
    <t>Lechones nacidos vivos por parto</t>
  </si>
  <si>
    <t>Lechones muertos en la lactancia por parto</t>
  </si>
  <si>
    <t>Períodos productivos en un año (partos/cerda repr y año)</t>
  </si>
  <si>
    <t>Lechones criados efectivos por camada (ncec)</t>
  </si>
  <si>
    <t>Lechones criados efectivos por año y plaza de lactación (nce)</t>
  </si>
  <si>
    <t>Lechones nacidos por parto (lp)</t>
  </si>
  <si>
    <t>Lechones nacidos vivos por parto (lv)</t>
  </si>
  <si>
    <t>Lechones muertos en la lactancia por cada parto (lm)</t>
  </si>
  <si>
    <t>Emisión de amoníaco =</t>
  </si>
  <si>
    <t>Total (kg/año)</t>
  </si>
  <si>
    <t>Por lechón producido (kg/lechón)</t>
  </si>
  <si>
    <t>Emisión de óxido nitroso =</t>
  </si>
  <si>
    <t>Emisión de metano =</t>
  </si>
  <si>
    <t>Emisión de amoníaco en el almacenamiento posterior (kg/año)</t>
  </si>
  <si>
    <t>Emisión de amoníaco en el alojamiento por categoría(kg/año)</t>
  </si>
</sst>
</file>

<file path=xl/styles.xml><?xml version="1.0" encoding="utf-8"?>
<styleSheet xmlns="http://schemas.openxmlformats.org/spreadsheetml/2006/main">
  <numFmts count="2">
    <numFmt numFmtId="164" formatCode="#,##0;\(0.0\)"/>
    <numFmt numFmtId="165" formatCode="_-* #,##0.00\ [$€]_-;\-* #,##0.00\ [$€]_-;_-* &quot;-&quot;??\ [$€]_-;_-@_-"/>
  </numFmts>
  <fonts count="8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4" fontId="7" fillId="0" borderId="6">
      <alignment horizontal="right"/>
    </xf>
  </cellStyleXfs>
  <cellXfs count="78">
    <xf numFmtId="0" fontId="0" fillId="0" borderId="0" xfId="0"/>
    <xf numFmtId="0" fontId="0" fillId="0" borderId="0" xfId="0" applyAlignment="1">
      <alignment textRotation="45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11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0" xfId="0" applyAlignment="1">
      <alignment textRotation="45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textRotation="45" wrapText="1"/>
    </xf>
    <xf numFmtId="0" fontId="0" fillId="0" borderId="1" xfId="0" applyBorder="1" applyAlignment="1">
      <alignment textRotation="45"/>
    </xf>
    <xf numFmtId="0" fontId="0" fillId="0" borderId="3" xfId="0" applyBorder="1"/>
    <xf numFmtId="0" fontId="0" fillId="3" borderId="1" xfId="0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textRotation="90" wrapText="1"/>
    </xf>
    <xf numFmtId="0" fontId="0" fillId="0" borderId="3" xfId="0" applyFill="1" applyBorder="1"/>
    <xf numFmtId="0" fontId="0" fillId="0" borderId="0" xfId="0" applyBorder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1" xfId="0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textRotation="45"/>
    </xf>
    <xf numFmtId="0" fontId="4" fillId="2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45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0" xfId="0" applyFill="1" applyBorder="1" applyAlignment="1">
      <alignment horizontal="right"/>
    </xf>
    <xf numFmtId="0" fontId="0" fillId="0" borderId="11" xfId="0" applyBorder="1"/>
    <xf numFmtId="0" fontId="0" fillId="0" borderId="1" xfId="0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">
    <cellStyle name="Euro" xfId="2"/>
    <cellStyle name="Normal" xfId="0" builtinId="0"/>
    <cellStyle name="Normal 2" xfId="1"/>
    <cellStyle name="pep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opLeftCell="A16" workbookViewId="0">
      <selection activeCell="I6" sqref="I6:I7"/>
    </sheetView>
  </sheetViews>
  <sheetFormatPr baseColWidth="10" defaultRowHeight="15"/>
  <cols>
    <col min="1" max="1" width="42.42578125" customWidth="1"/>
    <col min="5" max="5" width="10.7109375" customWidth="1"/>
    <col min="6" max="7" width="3.28515625" customWidth="1"/>
    <col min="8" max="8" width="40.42578125" customWidth="1"/>
  </cols>
  <sheetData>
    <row r="1" spans="1:9" ht="31.5">
      <c r="A1" s="45" t="s">
        <v>0</v>
      </c>
    </row>
    <row r="2" spans="1:9" ht="88.5">
      <c r="A2" s="4" t="s">
        <v>6</v>
      </c>
      <c r="B2" s="1" t="s">
        <v>8</v>
      </c>
      <c r="C2" s="42"/>
      <c r="D2" s="42"/>
      <c r="E2" s="42"/>
      <c r="F2" s="42"/>
      <c r="G2" s="6"/>
      <c r="H2" s="4" t="s">
        <v>63</v>
      </c>
    </row>
    <row r="3" spans="1:9">
      <c r="A3" t="s">
        <v>54</v>
      </c>
      <c r="B3" s="26"/>
      <c r="C3" s="27"/>
      <c r="D3" s="27"/>
      <c r="E3" s="27"/>
      <c r="F3" s="8"/>
      <c r="G3" s="6"/>
      <c r="H3" t="s">
        <v>99</v>
      </c>
      <c r="I3" s="26"/>
    </row>
    <row r="4" spans="1:9">
      <c r="A4" t="s">
        <v>55</v>
      </c>
      <c r="B4" s="43"/>
      <c r="C4" s="27"/>
      <c r="D4" s="27"/>
      <c r="E4" s="27"/>
      <c r="F4" s="8"/>
      <c r="G4" s="6"/>
      <c r="H4" t="s">
        <v>100</v>
      </c>
      <c r="I4" s="26"/>
    </row>
    <row r="5" spans="1:9">
      <c r="B5" s="44"/>
      <c r="C5" s="27"/>
      <c r="D5" s="27"/>
      <c r="E5" s="27"/>
      <c r="F5" s="8"/>
      <c r="G5" s="6"/>
      <c r="H5" t="s">
        <v>101</v>
      </c>
      <c r="I5" s="26"/>
    </row>
    <row r="6" spans="1:9">
      <c r="A6" t="s">
        <v>58</v>
      </c>
      <c r="B6" s="26"/>
      <c r="C6" s="27"/>
      <c r="D6" s="27"/>
      <c r="E6" s="27"/>
      <c r="F6" s="8"/>
      <c r="G6" s="6"/>
      <c r="H6" t="s">
        <v>11</v>
      </c>
      <c r="I6" s="26"/>
    </row>
    <row r="7" spans="1:9">
      <c r="B7" s="27"/>
      <c r="C7" s="27"/>
      <c r="D7" s="27"/>
      <c r="E7" s="27"/>
      <c r="F7" s="8"/>
      <c r="G7" s="6"/>
      <c r="H7" t="s">
        <v>23</v>
      </c>
      <c r="I7" s="26"/>
    </row>
    <row r="8" spans="1:9" ht="21" customHeight="1">
      <c r="A8" s="4" t="s">
        <v>12</v>
      </c>
      <c r="B8" s="27"/>
      <c r="C8" s="27"/>
      <c r="D8" s="27"/>
      <c r="E8" s="27"/>
      <c r="F8" s="8"/>
      <c r="G8" s="6"/>
      <c r="H8" s="4" t="s">
        <v>77</v>
      </c>
      <c r="I8" s="28"/>
    </row>
    <row r="9" spans="1:9" ht="15" customHeight="1">
      <c r="A9" t="s">
        <v>59</v>
      </c>
      <c r="B9" s="26"/>
      <c r="C9" s="27"/>
      <c r="D9" s="27"/>
      <c r="E9" s="27"/>
      <c r="F9" s="8"/>
      <c r="G9" s="6"/>
      <c r="H9" t="s">
        <v>78</v>
      </c>
      <c r="I9" s="26"/>
    </row>
    <row r="10" spans="1:9" ht="15" customHeight="1">
      <c r="A10" t="s">
        <v>57</v>
      </c>
      <c r="B10" s="47"/>
      <c r="C10" s="6"/>
      <c r="D10" s="6"/>
      <c r="E10" s="6"/>
      <c r="F10" s="6"/>
      <c r="G10" s="6"/>
      <c r="I10" s="27"/>
    </row>
    <row r="11" spans="1:9" ht="15" customHeight="1">
      <c r="A11" s="5" t="s">
        <v>56</v>
      </c>
      <c r="B11" s="47"/>
      <c r="C11" s="6"/>
      <c r="D11" s="6"/>
      <c r="E11" s="6"/>
      <c r="F11" s="6"/>
      <c r="G11" s="6"/>
      <c r="H11" s="5"/>
      <c r="I11" s="27"/>
    </row>
    <row r="12" spans="1:9">
      <c r="C12" s="6"/>
      <c r="D12" s="6"/>
      <c r="E12" s="6"/>
      <c r="F12" s="6"/>
      <c r="G12" s="6"/>
      <c r="H12" s="5"/>
      <c r="I12" s="27"/>
    </row>
    <row r="13" spans="1:9" ht="126">
      <c r="A13" s="4" t="s">
        <v>26</v>
      </c>
      <c r="B13" s="19" t="s">
        <v>27</v>
      </c>
      <c r="C13" s="1" t="s">
        <v>28</v>
      </c>
      <c r="D13" s="19" t="s">
        <v>29</v>
      </c>
      <c r="E13" s="1" t="s">
        <v>30</v>
      </c>
    </row>
    <row r="14" spans="1:9">
      <c r="A14" s="2" t="s">
        <v>65</v>
      </c>
      <c r="B14" s="26"/>
      <c r="C14" s="26"/>
      <c r="D14" s="26"/>
      <c r="E14" s="26"/>
    </row>
    <row r="15" spans="1:9">
      <c r="A15" s="2" t="s">
        <v>66</v>
      </c>
      <c r="B15" s="26"/>
      <c r="C15" s="26"/>
      <c r="D15" s="26"/>
      <c r="E15" s="26"/>
    </row>
    <row r="16" spans="1:9">
      <c r="A16" s="2" t="s">
        <v>67</v>
      </c>
      <c r="B16" s="26"/>
      <c r="C16" s="26"/>
      <c r="D16" s="26"/>
      <c r="E16" s="26"/>
    </row>
    <row r="17" spans="1:5">
      <c r="A17" s="2" t="s">
        <v>1</v>
      </c>
      <c r="B17" s="26"/>
      <c r="C17" s="26"/>
      <c r="D17" s="26"/>
      <c r="E17" s="26"/>
    </row>
    <row r="18" spans="1:5">
      <c r="A18" s="2" t="s">
        <v>2</v>
      </c>
      <c r="B18" s="26"/>
      <c r="C18" s="26"/>
      <c r="D18" s="26"/>
      <c r="E18" s="26"/>
    </row>
    <row r="19" spans="1:5">
      <c r="A19" s="2" t="s">
        <v>3</v>
      </c>
      <c r="B19" s="26"/>
      <c r="C19" s="26"/>
      <c r="D19" s="26"/>
      <c r="E19" s="26"/>
    </row>
    <row r="20" spans="1:5">
      <c r="A20" s="2" t="s">
        <v>64</v>
      </c>
      <c r="B20" s="26"/>
      <c r="C20" s="26"/>
      <c r="D20" s="26"/>
      <c r="E20" s="26"/>
    </row>
    <row r="21" spans="1:5">
      <c r="A21" s="2" t="s">
        <v>4</v>
      </c>
      <c r="B21" s="26"/>
      <c r="C21" s="26"/>
      <c r="D21" s="26"/>
      <c r="E21" s="26"/>
    </row>
    <row r="22" spans="1:5">
      <c r="A22" s="2" t="s">
        <v>5</v>
      </c>
      <c r="B22" s="26"/>
      <c r="C22" s="26"/>
      <c r="D22" s="26"/>
      <c r="E22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topLeftCell="A61" zoomScaleNormal="100" workbookViewId="0">
      <selection activeCell="I71" sqref="I71"/>
    </sheetView>
  </sheetViews>
  <sheetFormatPr baseColWidth="10" defaultRowHeight="15"/>
  <cols>
    <col min="1" max="1" width="42.28515625" customWidth="1"/>
    <col min="2" max="9" width="8.7109375" customWidth="1"/>
    <col min="10" max="10" width="54.7109375" customWidth="1"/>
  </cols>
  <sheetData>
    <row r="1" spans="1:11" ht="33.75">
      <c r="A1" s="3" t="s">
        <v>14</v>
      </c>
      <c r="J1" s="25"/>
    </row>
    <row r="2" spans="1:11" ht="15" customHeight="1">
      <c r="A2" t="s">
        <v>54</v>
      </c>
      <c r="B2" s="2">
        <f>'Entrada de datos'!B3</f>
        <v>0</v>
      </c>
      <c r="J2" t="s">
        <v>59</v>
      </c>
      <c r="K2" s="2">
        <f>'Entrada de datos'!B9</f>
        <v>0</v>
      </c>
    </row>
    <row r="3" spans="1:11" ht="15" customHeight="1">
      <c r="A3" t="s">
        <v>55</v>
      </c>
      <c r="B3" s="2">
        <f>'Entrada de datos'!B4</f>
        <v>0</v>
      </c>
      <c r="J3" s="25"/>
    </row>
    <row r="4" spans="1:11" ht="15" customHeight="1">
      <c r="A4" t="s">
        <v>60</v>
      </c>
      <c r="B4" s="2">
        <f>B2*B3/100</f>
        <v>0</v>
      </c>
      <c r="J4" s="52" t="s">
        <v>78</v>
      </c>
      <c r="K4" s="2">
        <f>'Entrada de datos'!I9</f>
        <v>0</v>
      </c>
    </row>
    <row r="5" spans="1:11" ht="15" customHeight="1">
      <c r="A5" t="s">
        <v>58</v>
      </c>
      <c r="B5" s="2">
        <f>'Entrada de datos'!B6</f>
        <v>0</v>
      </c>
      <c r="J5" s="25"/>
    </row>
    <row r="6" spans="1:11" ht="15" customHeight="1">
      <c r="B6" s="34"/>
      <c r="J6" s="25"/>
    </row>
    <row r="7" spans="1:11" ht="112.5">
      <c r="A7" s="4" t="s">
        <v>6</v>
      </c>
      <c r="B7" s="22" t="s">
        <v>8</v>
      </c>
      <c r="C7" s="22" t="s">
        <v>62</v>
      </c>
      <c r="D7" s="22" t="s">
        <v>61</v>
      </c>
      <c r="E7" s="22" t="s">
        <v>7</v>
      </c>
      <c r="F7" s="22" t="s">
        <v>9</v>
      </c>
      <c r="J7" s="4" t="s">
        <v>10</v>
      </c>
    </row>
    <row r="8" spans="1:11">
      <c r="A8" s="2" t="s">
        <v>65</v>
      </c>
      <c r="B8" s="41">
        <f>K2*B4/(K20+K2)</f>
        <v>0</v>
      </c>
      <c r="C8" s="41">
        <f>D8-F8*K2</f>
        <v>127</v>
      </c>
      <c r="D8" s="41">
        <v>127</v>
      </c>
      <c r="E8" s="41">
        <f>AVERAGE(C8:D8)</f>
        <v>127</v>
      </c>
      <c r="F8" s="48">
        <v>0.69</v>
      </c>
      <c r="J8" t="s">
        <v>105</v>
      </c>
      <c r="K8" s="38">
        <f>'Entrada de datos'!I3</f>
        <v>0</v>
      </c>
    </row>
    <row r="9" spans="1:11">
      <c r="A9" s="2" t="s">
        <v>66</v>
      </c>
      <c r="B9" s="46">
        <f>K19*B4/(K20+K2)</f>
        <v>0</v>
      </c>
      <c r="C9" s="41">
        <v>127</v>
      </c>
      <c r="D9" s="41">
        <v>172</v>
      </c>
      <c r="E9" s="41">
        <f t="shared" ref="E9:E16" si="0">AVERAGE(C9:D9)</f>
        <v>149.5</v>
      </c>
      <c r="F9" s="48">
        <f>(D9-C9)/K19</f>
        <v>0.39130434782608697</v>
      </c>
      <c r="J9" t="s">
        <v>106</v>
      </c>
      <c r="K9" s="38">
        <f>'Entrada de datos'!I4</f>
        <v>0</v>
      </c>
    </row>
    <row r="10" spans="1:11">
      <c r="A10" s="2" t="s">
        <v>67</v>
      </c>
      <c r="B10" s="46">
        <f>K17*B4/(K20+K2)</f>
        <v>0</v>
      </c>
      <c r="C10" s="41">
        <v>141</v>
      </c>
      <c r="D10" s="41">
        <f>C10</f>
        <v>141</v>
      </c>
      <c r="E10" s="41">
        <f t="shared" si="0"/>
        <v>141</v>
      </c>
      <c r="F10" s="48">
        <v>0</v>
      </c>
      <c r="J10" t="s">
        <v>107</v>
      </c>
      <c r="K10" s="38">
        <f>'Entrada de datos'!I5</f>
        <v>0</v>
      </c>
    </row>
    <row r="11" spans="1:11">
      <c r="A11" s="2" t="s">
        <v>1</v>
      </c>
      <c r="B11" s="46">
        <f>K18*B4/(K20+K2)</f>
        <v>0</v>
      </c>
      <c r="C11" s="41">
        <v>141</v>
      </c>
      <c r="D11" s="41">
        <f t="shared" ref="D11:D12" si="1">C11</f>
        <v>141</v>
      </c>
      <c r="E11" s="41">
        <f t="shared" si="0"/>
        <v>141</v>
      </c>
      <c r="F11" s="48">
        <v>0</v>
      </c>
      <c r="J11" t="s">
        <v>11</v>
      </c>
      <c r="K11" s="38">
        <f>'Entrada de datos'!I6</f>
        <v>0</v>
      </c>
    </row>
    <row r="12" spans="1:11">
      <c r="A12" s="2" t="s">
        <v>2</v>
      </c>
      <c r="B12" s="41">
        <f>K18*B2/K20</f>
        <v>0</v>
      </c>
      <c r="C12" s="41">
        <v>201</v>
      </c>
      <c r="D12" s="41">
        <f t="shared" si="1"/>
        <v>201</v>
      </c>
      <c r="E12" s="41">
        <f t="shared" si="0"/>
        <v>201</v>
      </c>
      <c r="F12" s="48">
        <v>0</v>
      </c>
      <c r="J12" t="s">
        <v>23</v>
      </c>
      <c r="K12" s="38">
        <f>'Entrada de datos'!I7</f>
        <v>0</v>
      </c>
    </row>
    <row r="13" spans="1:11">
      <c r="A13" s="2" t="s">
        <v>3</v>
      </c>
      <c r="B13" s="41">
        <f>115*B2/K20</f>
        <v>0</v>
      </c>
      <c r="C13" s="41">
        <v>201</v>
      </c>
      <c r="D13" s="41">
        <v>245</v>
      </c>
      <c r="E13" s="41">
        <f t="shared" si="0"/>
        <v>223</v>
      </c>
      <c r="F13" s="48">
        <f>(D13-C13)/K19</f>
        <v>0.38260869565217392</v>
      </c>
      <c r="J13" t="s">
        <v>103</v>
      </c>
      <c r="K13" s="38">
        <f>K9-(K10*0.7)</f>
        <v>0</v>
      </c>
    </row>
    <row r="14" spans="1:11">
      <c r="A14" s="2" t="s">
        <v>64</v>
      </c>
      <c r="B14" s="41">
        <f>K17*B2/K20</f>
        <v>0</v>
      </c>
      <c r="C14" s="41">
        <v>201</v>
      </c>
      <c r="D14" s="41">
        <f>C14</f>
        <v>201</v>
      </c>
      <c r="E14" s="41">
        <f t="shared" si="0"/>
        <v>201</v>
      </c>
      <c r="F14" s="48">
        <v>0</v>
      </c>
      <c r="J14" t="s">
        <v>74</v>
      </c>
      <c r="K14" s="38" t="e">
        <f>(K12-K11)/K17</f>
        <v>#DIV/0!</v>
      </c>
    </row>
    <row r="15" spans="1:11">
      <c r="A15" s="2" t="s">
        <v>4</v>
      </c>
      <c r="B15" s="41">
        <f>B5*8.5/(8.5+12)</f>
        <v>0</v>
      </c>
      <c r="C15" s="41">
        <v>51</v>
      </c>
      <c r="D15" s="41">
        <v>161</v>
      </c>
      <c r="E15" s="41">
        <f t="shared" si="0"/>
        <v>106</v>
      </c>
      <c r="F15" s="48">
        <f>(D15-C15)/254</f>
        <v>0.43307086614173229</v>
      </c>
      <c r="J15" t="s">
        <v>104</v>
      </c>
      <c r="K15" s="57" t="e">
        <f>K13*SUM(B9:B14)*K21/(B10+B14)</f>
        <v>#DIV/0!</v>
      </c>
    </row>
    <row r="16" spans="1:11" ht="21">
      <c r="A16" s="2" t="s">
        <v>5</v>
      </c>
      <c r="B16" s="41">
        <f>B5*12/(8.5+12)</f>
        <v>0</v>
      </c>
      <c r="C16" s="41">
        <v>161</v>
      </c>
      <c r="D16" s="41">
        <v>270</v>
      </c>
      <c r="E16" s="41">
        <f t="shared" si="0"/>
        <v>215.5</v>
      </c>
      <c r="F16" s="48">
        <f>(D16-C16)/365</f>
        <v>0.29863013698630136</v>
      </c>
      <c r="J16" s="4" t="s">
        <v>12</v>
      </c>
      <c r="K16" s="49"/>
    </row>
    <row r="17" spans="1:11">
      <c r="J17" t="s">
        <v>57</v>
      </c>
      <c r="K17" s="38">
        <f>'Entrada de datos'!B10</f>
        <v>0</v>
      </c>
    </row>
    <row r="18" spans="1:11">
      <c r="J18" s="5" t="s">
        <v>56</v>
      </c>
      <c r="K18" s="38">
        <f>'Entrada de datos'!B11</f>
        <v>0</v>
      </c>
    </row>
    <row r="19" spans="1:11">
      <c r="J19" t="s">
        <v>45</v>
      </c>
      <c r="K19" s="38">
        <f>115</f>
        <v>115</v>
      </c>
    </row>
    <row r="20" spans="1:11">
      <c r="J20" t="s">
        <v>13</v>
      </c>
      <c r="K20" s="38">
        <f>SUM(K17:K19)</f>
        <v>115</v>
      </c>
    </row>
    <row r="21" spans="1:11">
      <c r="J21" t="s">
        <v>102</v>
      </c>
      <c r="K21" s="38">
        <f>365/K20</f>
        <v>3.1739130434782608</v>
      </c>
    </row>
    <row r="22" spans="1:11">
      <c r="B22" s="71" t="s">
        <v>81</v>
      </c>
      <c r="C22" s="71"/>
      <c r="D22" s="71"/>
      <c r="E22" s="71"/>
      <c r="F22" s="71"/>
      <c r="G22" s="71"/>
      <c r="H22" s="71"/>
      <c r="I22" s="10"/>
    </row>
    <row r="23" spans="1:11" ht="48" customHeight="1">
      <c r="B23" s="72" t="s">
        <v>17</v>
      </c>
      <c r="C23" s="72"/>
      <c r="D23" s="73" t="s">
        <v>18</v>
      </c>
      <c r="E23" s="73"/>
      <c r="F23" s="73"/>
      <c r="G23" s="73"/>
      <c r="H23" s="73"/>
      <c r="I23" s="9"/>
    </row>
    <row r="24" spans="1:11" ht="30" customHeight="1">
      <c r="B24" s="74" t="s">
        <v>20</v>
      </c>
      <c r="C24" s="74" t="s">
        <v>21</v>
      </c>
      <c r="D24" s="74" t="s">
        <v>22</v>
      </c>
      <c r="E24" s="74" t="s">
        <v>24</v>
      </c>
      <c r="F24" s="73" t="s">
        <v>19</v>
      </c>
      <c r="G24" s="73"/>
      <c r="H24" s="73"/>
      <c r="I24" s="9"/>
    </row>
    <row r="25" spans="1:11" ht="144" customHeight="1">
      <c r="B25" s="75"/>
      <c r="C25" s="75"/>
      <c r="D25" s="75"/>
      <c r="E25" s="75"/>
      <c r="F25" s="12" t="s">
        <v>25</v>
      </c>
      <c r="G25" s="12" t="s">
        <v>15</v>
      </c>
      <c r="H25" s="12" t="s">
        <v>16</v>
      </c>
      <c r="I25" s="11" t="s">
        <v>82</v>
      </c>
    </row>
    <row r="26" spans="1:11">
      <c r="A26" s="2" t="s">
        <v>65</v>
      </c>
      <c r="B26" s="14">
        <f t="shared" ref="B26:B34" si="2">0.456*E8^0.75</f>
        <v>17.251133394987406</v>
      </c>
      <c r="C26" s="54">
        <f>IF((16.35+0.88*E8)*(19-K4)*0.00418&gt;0,(16.35+0.88*E8)*(19-K4)*0.00418,0)</f>
        <v>10.1744962</v>
      </c>
      <c r="D26" s="14">
        <f>53.5*0.241*F8+50.6*0.153*F8</f>
        <v>14.238356999999999</v>
      </c>
      <c r="E26" s="17"/>
      <c r="F26" s="17"/>
      <c r="G26" s="17"/>
      <c r="H26" s="17"/>
      <c r="I26" s="14">
        <f>SUM(B26:H26)</f>
        <v>41.663986594987406</v>
      </c>
    </row>
    <row r="27" spans="1:11">
      <c r="A27" s="2" t="s">
        <v>66</v>
      </c>
      <c r="B27" s="14">
        <f t="shared" si="2"/>
        <v>19.496009920198993</v>
      </c>
      <c r="C27" s="14">
        <f>IF(0.012*E9^0.75*(14-K4)&gt;0,0.012*E9^0.75*(14-K4),0)</f>
        <v>7.1827404969154172</v>
      </c>
      <c r="D27" s="14">
        <f>53.5*0.241*F9+50.6*0.153*F9</f>
        <v>8.0746826086956531</v>
      </c>
      <c r="E27" s="17"/>
      <c r="F27" s="14" t="e">
        <f>10.88*K11*(K8*K21*SUM(B9:B14))/(365*(B9+B13))</f>
        <v>#DIV/0!</v>
      </c>
      <c r="G27" s="17"/>
      <c r="H27" s="14">
        <f>0.774*(114-80)/114</f>
        <v>0.2308421052631579</v>
      </c>
      <c r="I27" s="16" t="e">
        <f t="shared" ref="I27:I34" si="3">SUM(B27:H27)</f>
        <v>#DIV/0!</v>
      </c>
    </row>
    <row r="28" spans="1:11">
      <c r="A28" s="2" t="s">
        <v>67</v>
      </c>
      <c r="B28" s="14">
        <f t="shared" si="2"/>
        <v>18.658605271178622</v>
      </c>
      <c r="C28" s="51">
        <f>IF(0.014*E10^0.75*(15-K4)&gt;0,0.014*E10^0.75*(15-K4),0)</f>
        <v>8.5927787433059457</v>
      </c>
      <c r="D28" s="17"/>
      <c r="E28" s="14" t="e">
        <f>K15*(0.02859*K14*1000-0.52319)*(K17/365)</f>
        <v>#DIV/0!</v>
      </c>
      <c r="F28" s="17"/>
      <c r="G28" s="17"/>
      <c r="H28" s="17"/>
      <c r="I28" s="16" t="e">
        <f>SUM(B28:H28)-13.7</f>
        <v>#DIV/0!</v>
      </c>
    </row>
    <row r="29" spans="1:11">
      <c r="A29" s="2" t="s">
        <v>1</v>
      </c>
      <c r="B29" s="14">
        <f t="shared" si="2"/>
        <v>18.658605271178622</v>
      </c>
      <c r="C29" s="51">
        <f>IF((16.35+0.88*E11)*(19-K4)*0.00418&gt;0,(16.35+0.88*E11)*(19-K4)*0.00418,0)</f>
        <v>11.152950599999999</v>
      </c>
      <c r="D29" s="17"/>
      <c r="E29" s="17"/>
      <c r="F29" s="17"/>
      <c r="G29" s="17"/>
      <c r="H29" s="17"/>
      <c r="I29" s="16">
        <f t="shared" si="3"/>
        <v>29.811555871178619</v>
      </c>
    </row>
    <row r="30" spans="1:11">
      <c r="A30" s="2" t="s">
        <v>2</v>
      </c>
      <c r="B30" s="14">
        <f t="shared" si="2"/>
        <v>24.342315428702729</v>
      </c>
      <c r="C30" s="53">
        <f>IF((16.35+0.88*E12)*(19-K4)*0.00418&gt;0,(16.35+0.88*E12)*(19-K4)*0.00418,0)</f>
        <v>15.346326599999998</v>
      </c>
      <c r="D30" s="17"/>
      <c r="E30" s="17"/>
      <c r="F30" s="17"/>
      <c r="G30" s="17"/>
      <c r="H30" s="17"/>
      <c r="I30" s="16">
        <f t="shared" si="3"/>
        <v>39.688642028702731</v>
      </c>
    </row>
    <row r="31" spans="1:11">
      <c r="A31" s="2" t="s">
        <v>3</v>
      </c>
      <c r="B31" s="14">
        <f t="shared" si="2"/>
        <v>26.314401085878359</v>
      </c>
      <c r="C31" s="51">
        <f>IF(0.01*E13^0.75*(14-K4)&gt;0,0.01*E13^0.75*(14-K4),0)</f>
        <v>8.0789827895240567</v>
      </c>
      <c r="D31" s="17"/>
      <c r="E31" s="17"/>
      <c r="F31" s="57" t="e">
        <f>10.88*K11*(K8*K21*SUM(B9:B14))/(365*(B9+B13))</f>
        <v>#DIV/0!</v>
      </c>
      <c r="G31" s="14">
        <f>(D13-C13)*20.08/115</f>
        <v>7.6827826086956517</v>
      </c>
      <c r="H31" s="16">
        <f>0.774*(114-80)/114</f>
        <v>0.2308421052631579</v>
      </c>
      <c r="I31" s="16" t="e">
        <f t="shared" si="3"/>
        <v>#DIV/0!</v>
      </c>
    </row>
    <row r="32" spans="1:11">
      <c r="A32" s="2" t="s">
        <v>64</v>
      </c>
      <c r="B32" s="14">
        <f t="shared" si="2"/>
        <v>24.342315428702729</v>
      </c>
      <c r="C32" s="51">
        <f>IF(0.013*E14^0.75*(15-K4)&gt;0,0.013*E14^0.75*(15-K4),0)</f>
        <v>10.409542782011036</v>
      </c>
      <c r="D32" s="17"/>
      <c r="E32" s="15" t="e">
        <f>K15*(0.02859*K14*1000-0.52319)*(K17/365)</f>
        <v>#DIV/0!</v>
      </c>
      <c r="F32" s="17"/>
      <c r="G32" s="17"/>
      <c r="H32" s="17"/>
      <c r="I32" s="16" t="e">
        <f>SUM(B32:H32)-13.7</f>
        <v>#DIV/0!</v>
      </c>
      <c r="K32" s="13"/>
    </row>
    <row r="33" spans="1:10">
      <c r="A33" s="2" t="s">
        <v>4</v>
      </c>
      <c r="B33" s="14">
        <f t="shared" si="2"/>
        <v>15.064136476864672</v>
      </c>
      <c r="C33" s="14">
        <f>IF((16.35+0.88*E15)*(20.5-K4)*0.00418&gt;0,(16.35+0.88*E15)*(20.5-K4)*0.00418,0)</f>
        <v>9.3941946999999999</v>
      </c>
      <c r="D33" s="14">
        <f>53.5*0.203*F15+50.6*0.161*F15</f>
        <v>8.23142125984252</v>
      </c>
      <c r="E33" s="17"/>
      <c r="F33" s="17"/>
      <c r="G33" s="17"/>
      <c r="H33" s="17"/>
      <c r="I33" s="16">
        <f t="shared" si="3"/>
        <v>32.689752436707195</v>
      </c>
    </row>
    <row r="34" spans="1:10">
      <c r="A34" s="2" t="s">
        <v>5</v>
      </c>
      <c r="B34" s="14">
        <f t="shared" si="2"/>
        <v>25.647810636972896</v>
      </c>
      <c r="C34" s="53">
        <f>IF((16.35+0.88*E16)*(20.5-K4)*0.00418&gt;0,(16.35+0.88*E16)*(20.5-K4)*0.00418,0)</f>
        <v>17.651283100000001</v>
      </c>
      <c r="D34" s="14">
        <f>53.5*0.203*F16+50.6*0.161*F16</f>
        <v>5.6760928767123291</v>
      </c>
      <c r="E34" s="17"/>
      <c r="F34" s="17"/>
      <c r="G34" s="17"/>
      <c r="H34" s="17"/>
      <c r="I34" s="16">
        <f t="shared" si="3"/>
        <v>48.975186613685224</v>
      </c>
    </row>
    <row r="38" spans="1:10" ht="33.75">
      <c r="A38" s="3" t="s">
        <v>36</v>
      </c>
    </row>
    <row r="39" spans="1:10" ht="125.25" customHeight="1">
      <c r="A39" s="4" t="s">
        <v>26</v>
      </c>
      <c r="B39" s="21" t="s">
        <v>27</v>
      </c>
      <c r="C39" s="22" t="s">
        <v>28</v>
      </c>
      <c r="D39" s="21" t="s">
        <v>29</v>
      </c>
      <c r="E39" s="22" t="s">
        <v>30</v>
      </c>
      <c r="F39" s="21" t="s">
        <v>83</v>
      </c>
      <c r="G39" s="21" t="s">
        <v>84</v>
      </c>
      <c r="H39" s="21" t="s">
        <v>85</v>
      </c>
    </row>
    <row r="40" spans="1:10">
      <c r="A40" s="2" t="s">
        <v>65</v>
      </c>
      <c r="B40" s="20">
        <f>'Entrada de datos'!B14</f>
        <v>0</v>
      </c>
      <c r="C40" s="20">
        <f>'Entrada de datos'!C14</f>
        <v>0</v>
      </c>
      <c r="D40" s="20">
        <f>'Entrada de datos'!D14</f>
        <v>0</v>
      </c>
      <c r="E40" s="20">
        <f>'Entrada de datos'!E14</f>
        <v>0</v>
      </c>
      <c r="F40" s="2" t="e">
        <f>I26/B40</f>
        <v>#DIV/0!</v>
      </c>
      <c r="G40" s="2" t="e">
        <f>F40*365</f>
        <v>#DIV/0!</v>
      </c>
      <c r="H40" s="2" t="e">
        <f>G40*E40/(100*6.25)</f>
        <v>#DIV/0!</v>
      </c>
      <c r="J40" t="s">
        <v>37</v>
      </c>
    </row>
    <row r="41" spans="1:10">
      <c r="A41" s="2" t="s">
        <v>66</v>
      </c>
      <c r="B41" s="20">
        <f>'Entrada de datos'!B15</f>
        <v>0</v>
      </c>
      <c r="C41" s="20">
        <f>'Entrada de datos'!C15</f>
        <v>0</v>
      </c>
      <c r="D41" s="20">
        <f>'Entrada de datos'!D15</f>
        <v>0</v>
      </c>
      <c r="E41" s="20">
        <f>'Entrada de datos'!E15</f>
        <v>0</v>
      </c>
      <c r="F41" s="2" t="e">
        <f t="shared" ref="F41:F48" si="4">I27/B41</f>
        <v>#DIV/0!</v>
      </c>
      <c r="G41" s="2" t="e">
        <f t="shared" ref="G41:G48" si="5">F41*365</f>
        <v>#DIV/0!</v>
      </c>
      <c r="H41" s="2" t="e">
        <f t="shared" ref="H41:H48" si="6">G41*E41/(100*6.25)</f>
        <v>#DIV/0!</v>
      </c>
      <c r="J41" t="s">
        <v>38</v>
      </c>
    </row>
    <row r="42" spans="1:10">
      <c r="A42" s="2" t="s">
        <v>67</v>
      </c>
      <c r="B42" s="20">
        <f>'Entrada de datos'!B16</f>
        <v>0</v>
      </c>
      <c r="C42" s="20">
        <f>'Entrada de datos'!C16</f>
        <v>0</v>
      </c>
      <c r="D42" s="20">
        <f>'Entrada de datos'!D16</f>
        <v>0</v>
      </c>
      <c r="E42" s="20">
        <f>'Entrada de datos'!E16</f>
        <v>0</v>
      </c>
      <c r="F42" s="2" t="e">
        <f t="shared" si="4"/>
        <v>#DIV/0!</v>
      </c>
      <c r="G42" s="2" t="e">
        <f t="shared" si="5"/>
        <v>#DIV/0!</v>
      </c>
      <c r="H42" s="2" t="e">
        <f t="shared" si="6"/>
        <v>#DIV/0!</v>
      </c>
      <c r="J42" t="s">
        <v>39</v>
      </c>
    </row>
    <row r="43" spans="1:10">
      <c r="A43" s="2" t="s">
        <v>1</v>
      </c>
      <c r="B43" s="20">
        <f>'Entrada de datos'!B17</f>
        <v>0</v>
      </c>
      <c r="C43" s="20">
        <f>'Entrada de datos'!C17</f>
        <v>0</v>
      </c>
      <c r="D43" s="20">
        <f>'Entrada de datos'!D17</f>
        <v>0</v>
      </c>
      <c r="E43" s="20">
        <f>'Entrada de datos'!E17</f>
        <v>0</v>
      </c>
      <c r="F43" s="2" t="e">
        <f t="shared" si="4"/>
        <v>#DIV/0!</v>
      </c>
      <c r="G43" s="2" t="e">
        <f t="shared" si="5"/>
        <v>#DIV/0!</v>
      </c>
      <c r="H43" s="2" t="e">
        <f t="shared" si="6"/>
        <v>#DIV/0!</v>
      </c>
      <c r="J43">
        <f>18.6*85/100</f>
        <v>15.810000000000002</v>
      </c>
    </row>
    <row r="44" spans="1:10">
      <c r="A44" s="2" t="s">
        <v>2</v>
      </c>
      <c r="B44" s="20">
        <f>'Entrada de datos'!B18</f>
        <v>0</v>
      </c>
      <c r="C44" s="20">
        <f>'Entrada de datos'!C18</f>
        <v>0</v>
      </c>
      <c r="D44" s="20">
        <f>'Entrada de datos'!D18</f>
        <v>0</v>
      </c>
      <c r="E44" s="20">
        <f>'Entrada de datos'!E18</f>
        <v>0</v>
      </c>
      <c r="F44" s="2" t="e">
        <f t="shared" si="4"/>
        <v>#DIV/0!</v>
      </c>
      <c r="G44" s="2" t="e">
        <f t="shared" si="5"/>
        <v>#DIV/0!</v>
      </c>
      <c r="H44" s="2" t="e">
        <f t="shared" si="6"/>
        <v>#DIV/0!</v>
      </c>
    </row>
    <row r="45" spans="1:10">
      <c r="A45" s="2" t="s">
        <v>3</v>
      </c>
      <c r="B45" s="20">
        <f>'Entrada de datos'!B19</f>
        <v>0</v>
      </c>
      <c r="C45" s="20">
        <f>'Entrada de datos'!C19</f>
        <v>0</v>
      </c>
      <c r="D45" s="20">
        <f>'Entrada de datos'!D19</f>
        <v>0</v>
      </c>
      <c r="E45" s="20">
        <f>'Entrada de datos'!E19</f>
        <v>0</v>
      </c>
      <c r="F45" s="2" t="e">
        <f t="shared" si="4"/>
        <v>#DIV/0!</v>
      </c>
      <c r="G45" s="2" t="e">
        <f t="shared" si="5"/>
        <v>#DIV/0!</v>
      </c>
      <c r="H45" s="2" t="e">
        <f t="shared" si="6"/>
        <v>#DIV/0!</v>
      </c>
    </row>
    <row r="46" spans="1:10">
      <c r="A46" s="2" t="s">
        <v>64</v>
      </c>
      <c r="B46" s="20">
        <f>'Entrada de datos'!B20</f>
        <v>0</v>
      </c>
      <c r="C46" s="20">
        <f>'Entrada de datos'!C20</f>
        <v>0</v>
      </c>
      <c r="D46" s="20">
        <f>'Entrada de datos'!D20</f>
        <v>0</v>
      </c>
      <c r="E46" s="20">
        <f>'Entrada de datos'!E20</f>
        <v>0</v>
      </c>
      <c r="F46" s="2" t="e">
        <f t="shared" si="4"/>
        <v>#DIV/0!</v>
      </c>
      <c r="G46" s="2" t="e">
        <f t="shared" si="5"/>
        <v>#DIV/0!</v>
      </c>
      <c r="H46" s="2" t="e">
        <f t="shared" si="6"/>
        <v>#DIV/0!</v>
      </c>
    </row>
    <row r="47" spans="1:10">
      <c r="A47" s="2" t="s">
        <v>4</v>
      </c>
      <c r="B47" s="20">
        <f>'Entrada de datos'!B21</f>
        <v>0</v>
      </c>
      <c r="C47" s="20">
        <f>'Entrada de datos'!C21</f>
        <v>0</v>
      </c>
      <c r="D47" s="20">
        <f>'Entrada de datos'!D21</f>
        <v>0</v>
      </c>
      <c r="E47" s="20">
        <f>'Entrada de datos'!E21</f>
        <v>0</v>
      </c>
      <c r="F47" s="2" t="e">
        <f t="shared" si="4"/>
        <v>#DIV/0!</v>
      </c>
      <c r="G47" s="2" t="e">
        <f t="shared" si="5"/>
        <v>#DIV/0!</v>
      </c>
      <c r="H47" s="2" t="e">
        <f t="shared" si="6"/>
        <v>#DIV/0!</v>
      </c>
    </row>
    <row r="48" spans="1:10">
      <c r="A48" s="2" t="s">
        <v>5</v>
      </c>
      <c r="B48" s="20">
        <f>'Entrada de datos'!B22</f>
        <v>0</v>
      </c>
      <c r="C48" s="20">
        <f>'Entrada de datos'!C22</f>
        <v>0</v>
      </c>
      <c r="D48" s="20">
        <f>'Entrada de datos'!D22</f>
        <v>0</v>
      </c>
      <c r="E48" s="20">
        <f>'Entrada de datos'!E22</f>
        <v>0</v>
      </c>
      <c r="F48" s="2" t="e">
        <f t="shared" si="4"/>
        <v>#DIV/0!</v>
      </c>
      <c r="G48" s="2" t="e">
        <f t="shared" si="5"/>
        <v>#DIV/0!</v>
      </c>
      <c r="H48" s="2" t="e">
        <f t="shared" si="6"/>
        <v>#DIV/0!</v>
      </c>
    </row>
    <row r="49" spans="1:10">
      <c r="G49" s="30" t="s">
        <v>46</v>
      </c>
      <c r="H49" s="7" t="e">
        <f>SUM(H40:H48)</f>
        <v>#DIV/0!</v>
      </c>
    </row>
    <row r="51" spans="1:10">
      <c r="B51" s="62" t="s">
        <v>86</v>
      </c>
      <c r="C51" s="63"/>
      <c r="D51" s="63"/>
      <c r="E51" s="63"/>
      <c r="F51" s="64"/>
    </row>
    <row r="52" spans="1:10" ht="137.25" customHeight="1">
      <c r="A52" s="31" t="s">
        <v>47</v>
      </c>
      <c r="B52" s="18" t="s">
        <v>31</v>
      </c>
      <c r="C52" s="18" t="s">
        <v>32</v>
      </c>
      <c r="D52" s="18" t="s">
        <v>33</v>
      </c>
      <c r="E52" s="18" t="s">
        <v>34</v>
      </c>
      <c r="F52" s="18" t="s">
        <v>35</v>
      </c>
      <c r="G52" s="55" t="s">
        <v>87</v>
      </c>
      <c r="J52" s="56"/>
    </row>
    <row r="53" spans="1:10">
      <c r="A53" s="23" t="s">
        <v>65</v>
      </c>
      <c r="B53" s="2" t="e">
        <f>0.153*(D8-C8)*(365/K2)/6.25</f>
        <v>#DIV/0!</v>
      </c>
      <c r="C53" s="24"/>
      <c r="D53" s="24"/>
      <c r="E53" s="2" t="e">
        <f>SUM(B53:D53)</f>
        <v>#DIV/0!</v>
      </c>
      <c r="F53" s="2" t="e">
        <f>H40-E53</f>
        <v>#DIV/0!</v>
      </c>
      <c r="G53" s="2" t="e">
        <f>B8*F53</f>
        <v>#DIV/0!</v>
      </c>
      <c r="J53" t="s">
        <v>40</v>
      </c>
    </row>
    <row r="54" spans="1:10">
      <c r="A54" s="23" t="s">
        <v>66</v>
      </c>
      <c r="B54" s="2">
        <f>0.153*(D9-C9)*(365/115)/6.25</f>
        <v>3.4963826086956522</v>
      </c>
      <c r="C54" s="24"/>
      <c r="D54" s="2" t="e">
        <f>K11*0.2*K8*SUM(B9:B14)*K21/(6.25*(B9+B13))</f>
        <v>#DIV/0!</v>
      </c>
      <c r="E54" s="2" t="e">
        <f t="shared" ref="E54:E61" si="7">SUM(B54:D54)</f>
        <v>#DIV/0!</v>
      </c>
      <c r="F54" s="2" t="e">
        <f t="shared" ref="F54:F61" si="8">H41-E54</f>
        <v>#DIV/0!</v>
      </c>
      <c r="G54" s="2" t="e">
        <f t="shared" ref="G54:G61" si="9">B9*F54</f>
        <v>#DIV/0!</v>
      </c>
      <c r="J54" t="s">
        <v>41</v>
      </c>
    </row>
    <row r="55" spans="1:10">
      <c r="A55" s="23" t="s">
        <v>67</v>
      </c>
      <c r="B55" s="24"/>
      <c r="C55" s="2" t="e">
        <f>0.155*(K12-K11)*K13*SUM(B9:B14)*K21/(6.25*(B10+B14))</f>
        <v>#DIV/0!</v>
      </c>
      <c r="D55" s="24"/>
      <c r="E55" s="2" t="e">
        <f t="shared" si="7"/>
        <v>#DIV/0!</v>
      </c>
      <c r="F55" s="2" t="e">
        <f t="shared" si="8"/>
        <v>#DIV/0!</v>
      </c>
      <c r="G55" s="2" t="e">
        <f t="shared" si="9"/>
        <v>#DIV/0!</v>
      </c>
    </row>
    <row r="56" spans="1:10">
      <c r="A56" s="23" t="s">
        <v>1</v>
      </c>
      <c r="B56" s="24"/>
      <c r="C56" s="24"/>
      <c r="D56" s="24"/>
      <c r="E56" s="2">
        <f t="shared" si="7"/>
        <v>0</v>
      </c>
      <c r="F56" s="2" t="e">
        <f t="shared" si="8"/>
        <v>#DIV/0!</v>
      </c>
      <c r="G56" s="2" t="e">
        <f t="shared" si="9"/>
        <v>#DIV/0!</v>
      </c>
      <c r="J56" t="s">
        <v>42</v>
      </c>
    </row>
    <row r="57" spans="1:10">
      <c r="A57" s="23" t="s">
        <v>2</v>
      </c>
      <c r="B57" s="24"/>
      <c r="C57" s="24"/>
      <c r="D57" s="24"/>
      <c r="E57" s="2">
        <f t="shared" si="7"/>
        <v>0</v>
      </c>
      <c r="F57" s="2" t="e">
        <f t="shared" si="8"/>
        <v>#DIV/0!</v>
      </c>
      <c r="G57" s="2" t="e">
        <f t="shared" si="9"/>
        <v>#DIV/0!</v>
      </c>
      <c r="I57" t="s">
        <v>43</v>
      </c>
      <c r="J57" t="s">
        <v>44</v>
      </c>
    </row>
    <row r="58" spans="1:10">
      <c r="A58" s="23" t="s">
        <v>3</v>
      </c>
      <c r="B58" s="24"/>
      <c r="C58" s="24"/>
      <c r="D58" s="2" t="e">
        <f>K11*0.2*K8*SUM(B9:B14)*K21/(6.25*(B9+B13))</f>
        <v>#DIV/0!</v>
      </c>
      <c r="E58" s="2" t="e">
        <f t="shared" si="7"/>
        <v>#DIV/0!</v>
      </c>
      <c r="F58" s="2" t="e">
        <f t="shared" si="8"/>
        <v>#DIV/0!</v>
      </c>
      <c r="G58" s="2" t="e">
        <f t="shared" si="9"/>
        <v>#DIV/0!</v>
      </c>
    </row>
    <row r="59" spans="1:10">
      <c r="A59" s="23" t="s">
        <v>64</v>
      </c>
      <c r="B59" s="24"/>
      <c r="C59" s="2" t="e">
        <f>0.155*(K12-K11)*K13*SUM(B9:B14)*K21/(6.25*(B10+B14))</f>
        <v>#DIV/0!</v>
      </c>
      <c r="D59" s="24"/>
      <c r="E59" s="2" t="e">
        <f t="shared" si="7"/>
        <v>#DIV/0!</v>
      </c>
      <c r="F59" s="2" t="e">
        <f t="shared" si="8"/>
        <v>#DIV/0!</v>
      </c>
      <c r="G59" s="2" t="e">
        <f t="shared" si="9"/>
        <v>#DIV/0!</v>
      </c>
    </row>
    <row r="60" spans="1:10">
      <c r="A60" s="23" t="s">
        <v>4</v>
      </c>
      <c r="B60" s="2">
        <f>0.161*(D15-C15)*(12/8.5)/6.25</f>
        <v>4.0003764705882352</v>
      </c>
      <c r="C60" s="24"/>
      <c r="D60" s="24"/>
      <c r="E60" s="2">
        <f t="shared" si="7"/>
        <v>4.0003764705882352</v>
      </c>
      <c r="F60" s="2" t="e">
        <f t="shared" si="8"/>
        <v>#DIV/0!</v>
      </c>
      <c r="G60" s="2" t="e">
        <f t="shared" si="9"/>
        <v>#DIV/0!</v>
      </c>
    </row>
    <row r="61" spans="1:10">
      <c r="A61" s="23" t="s">
        <v>5</v>
      </c>
      <c r="B61" s="2">
        <f>0.161*(D16-C16)*(12/12)/6.25</f>
        <v>2.8078400000000001</v>
      </c>
      <c r="C61" s="24"/>
      <c r="D61" s="24"/>
      <c r="E61" s="2">
        <f t="shared" si="7"/>
        <v>2.8078400000000001</v>
      </c>
      <c r="F61" s="2" t="e">
        <f t="shared" si="8"/>
        <v>#DIV/0!</v>
      </c>
      <c r="G61" s="2" t="e">
        <f t="shared" si="9"/>
        <v>#DIV/0!</v>
      </c>
    </row>
    <row r="62" spans="1:10">
      <c r="B62" s="65" t="s">
        <v>88</v>
      </c>
      <c r="C62" s="65"/>
      <c r="D62" s="65"/>
      <c r="E62" s="65"/>
      <c r="F62" s="66"/>
      <c r="G62" s="2" t="e">
        <f>SUM(G53:G61)</f>
        <v>#DIV/0!</v>
      </c>
    </row>
    <row r="65" spans="1:10" ht="186.75">
      <c r="A65" s="31" t="s">
        <v>50</v>
      </c>
      <c r="B65" s="29" t="s">
        <v>89</v>
      </c>
      <c r="C65" s="55" t="s">
        <v>90</v>
      </c>
      <c r="D65" s="37" t="s">
        <v>51</v>
      </c>
      <c r="E65" s="29" t="s">
        <v>92</v>
      </c>
      <c r="F65" s="55" t="s">
        <v>93</v>
      </c>
    </row>
    <row r="66" spans="1:10">
      <c r="A66" s="23" t="s">
        <v>65</v>
      </c>
      <c r="B66" s="7" t="e">
        <f>G40*C40*((1-D40/100)+0.02)*(1-0.02)*(1/18.45)</f>
        <v>#DIV/0!</v>
      </c>
      <c r="C66" s="7" t="e">
        <f>B8*B66</f>
        <v>#DIV/0!</v>
      </c>
      <c r="D66" s="38">
        <v>0.65</v>
      </c>
      <c r="E66" s="7" t="e">
        <f>G40*C40*D66/100/55.65</f>
        <v>#DIV/0!</v>
      </c>
      <c r="F66" s="2" t="e">
        <f>B8*E66</f>
        <v>#DIV/0!</v>
      </c>
      <c r="J66" t="s">
        <v>48</v>
      </c>
    </row>
    <row r="67" spans="1:10">
      <c r="A67" s="23" t="s">
        <v>66</v>
      </c>
      <c r="B67" s="7" t="e">
        <f t="shared" ref="B67:B74" si="10">G41*C41*((1-D41/100)+0.02)*(1-0.02)*(1/18.45)</f>
        <v>#DIV/0!</v>
      </c>
      <c r="C67" s="7" t="e">
        <f t="shared" ref="C67:C74" si="11">B9*B67</f>
        <v>#DIV/0!</v>
      </c>
      <c r="D67" s="38">
        <v>1.05</v>
      </c>
      <c r="E67" s="7" t="e">
        <f t="shared" ref="E67:E74" si="12">G41*C41*D67/100/55.65</f>
        <v>#DIV/0!</v>
      </c>
      <c r="F67" s="2" t="e">
        <f t="shared" ref="F67:F74" si="13">B9*E67</f>
        <v>#DIV/0!</v>
      </c>
    </row>
    <row r="68" spans="1:10">
      <c r="A68" s="23" t="s">
        <v>67</v>
      </c>
      <c r="B68" s="7" t="e">
        <f t="shared" si="10"/>
        <v>#DIV/0!</v>
      </c>
      <c r="C68" s="7" t="e">
        <f t="shared" si="11"/>
        <v>#DIV/0!</v>
      </c>
      <c r="D68" s="38">
        <v>0.9</v>
      </c>
      <c r="E68" s="7" t="e">
        <f t="shared" si="12"/>
        <v>#DIV/0!</v>
      </c>
      <c r="F68" s="2" t="e">
        <f t="shared" si="13"/>
        <v>#DIV/0!</v>
      </c>
      <c r="J68" t="s">
        <v>49</v>
      </c>
    </row>
    <row r="69" spans="1:10">
      <c r="A69" s="23" t="s">
        <v>1</v>
      </c>
      <c r="B69" s="7" t="e">
        <f t="shared" si="10"/>
        <v>#DIV/0!</v>
      </c>
      <c r="C69" s="7" t="e">
        <f t="shared" si="11"/>
        <v>#DIV/0!</v>
      </c>
      <c r="D69" s="38">
        <v>5.0999999999999997E-2</v>
      </c>
      <c r="E69" s="7" t="e">
        <f t="shared" si="12"/>
        <v>#DIV/0!</v>
      </c>
      <c r="F69" s="2" t="e">
        <f t="shared" si="13"/>
        <v>#DIV/0!</v>
      </c>
    </row>
    <row r="70" spans="1:10">
      <c r="A70" s="23" t="s">
        <v>2</v>
      </c>
      <c r="B70" s="7" t="e">
        <f t="shared" si="10"/>
        <v>#DIV/0!</v>
      </c>
      <c r="C70" s="7" t="e">
        <f t="shared" si="11"/>
        <v>#DIV/0!</v>
      </c>
      <c r="D70" s="38">
        <v>1.05</v>
      </c>
      <c r="E70" s="7" t="e">
        <f t="shared" si="12"/>
        <v>#DIV/0!</v>
      </c>
      <c r="F70" s="2" t="e">
        <f t="shared" si="13"/>
        <v>#DIV/0!</v>
      </c>
    </row>
    <row r="71" spans="1:10">
      <c r="A71" s="23" t="s">
        <v>3</v>
      </c>
      <c r="B71" s="7" t="e">
        <f t="shared" si="10"/>
        <v>#DIV/0!</v>
      </c>
      <c r="C71" s="7" t="e">
        <f t="shared" si="11"/>
        <v>#DIV/0!</v>
      </c>
      <c r="D71" s="38">
        <v>1.05</v>
      </c>
      <c r="E71" s="7" t="e">
        <f t="shared" si="12"/>
        <v>#DIV/0!</v>
      </c>
      <c r="F71" s="2" t="e">
        <f t="shared" si="13"/>
        <v>#DIV/0!</v>
      </c>
    </row>
    <row r="72" spans="1:10">
      <c r="A72" s="23" t="s">
        <v>64</v>
      </c>
      <c r="B72" s="7" t="e">
        <f t="shared" si="10"/>
        <v>#DIV/0!</v>
      </c>
      <c r="C72" s="7" t="e">
        <f t="shared" si="11"/>
        <v>#DIV/0!</v>
      </c>
      <c r="D72" s="38">
        <v>0.9</v>
      </c>
      <c r="E72" s="7" t="e">
        <f t="shared" si="12"/>
        <v>#DIV/0!</v>
      </c>
      <c r="F72" s="2" t="e">
        <f t="shared" si="13"/>
        <v>#DIV/0!</v>
      </c>
    </row>
    <row r="73" spans="1:10">
      <c r="A73" s="23" t="s">
        <v>4</v>
      </c>
      <c r="B73" s="7" t="e">
        <f t="shared" si="10"/>
        <v>#DIV/0!</v>
      </c>
      <c r="C73" s="7" t="e">
        <f t="shared" si="11"/>
        <v>#DIV/0!</v>
      </c>
      <c r="D73" s="38">
        <v>0.70899999999999996</v>
      </c>
      <c r="E73" s="7" t="e">
        <f t="shared" si="12"/>
        <v>#DIV/0!</v>
      </c>
      <c r="F73" s="2" t="e">
        <f t="shared" si="13"/>
        <v>#DIV/0!</v>
      </c>
    </row>
    <row r="74" spans="1:10">
      <c r="A74" s="23" t="s">
        <v>5</v>
      </c>
      <c r="B74" s="7" t="e">
        <f t="shared" si="10"/>
        <v>#DIV/0!</v>
      </c>
      <c r="C74" s="7" t="e">
        <f t="shared" si="11"/>
        <v>#DIV/0!</v>
      </c>
      <c r="D74" s="39">
        <v>0.99</v>
      </c>
      <c r="E74" s="7" t="e">
        <f t="shared" si="12"/>
        <v>#DIV/0!</v>
      </c>
      <c r="F74" s="2" t="e">
        <f t="shared" si="13"/>
        <v>#DIV/0!</v>
      </c>
    </row>
    <row r="75" spans="1:10">
      <c r="A75" s="67" t="s">
        <v>91</v>
      </c>
      <c r="B75" s="68"/>
      <c r="C75" s="7" t="e">
        <f>SUM(C66:C74)</f>
        <v>#DIV/0!</v>
      </c>
      <c r="D75" s="69" t="s">
        <v>94</v>
      </c>
      <c r="E75" s="70"/>
      <c r="F75" s="7" t="e">
        <f>SUM(F66:F74)</f>
        <v>#DIV/0!</v>
      </c>
    </row>
  </sheetData>
  <mergeCells count="12">
    <mergeCell ref="B51:F51"/>
    <mergeCell ref="B62:F62"/>
    <mergeCell ref="A75:B75"/>
    <mergeCell ref="D75:E75"/>
    <mergeCell ref="B22:H22"/>
    <mergeCell ref="B23:C23"/>
    <mergeCell ref="D23:H23"/>
    <mergeCell ref="B24:B25"/>
    <mergeCell ref="C24:C25"/>
    <mergeCell ref="D24:D25"/>
    <mergeCell ref="E24:E25"/>
    <mergeCell ref="F24:H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8"/>
  <sheetViews>
    <sheetView zoomScale="110" zoomScaleNormal="110" workbookViewId="0">
      <selection activeCell="G24" sqref="G24"/>
    </sheetView>
  </sheetViews>
  <sheetFormatPr baseColWidth="10" defaultRowHeight="15"/>
  <cols>
    <col min="1" max="1" width="36.7109375" customWidth="1"/>
    <col min="10" max="10" width="13.7109375" customWidth="1"/>
  </cols>
  <sheetData>
    <row r="3" spans="1:12" ht="31.5">
      <c r="A3" s="45" t="s">
        <v>96</v>
      </c>
    </row>
    <row r="4" spans="1:12" ht="126.75">
      <c r="A4" s="31"/>
      <c r="B4" s="29" t="s">
        <v>95</v>
      </c>
      <c r="C4" s="58" t="s">
        <v>114</v>
      </c>
      <c r="D4" s="58" t="s">
        <v>113</v>
      </c>
      <c r="E4" s="50" t="s">
        <v>68</v>
      </c>
      <c r="F4" s="29" t="s">
        <v>90</v>
      </c>
      <c r="G4" s="32" t="s">
        <v>69</v>
      </c>
      <c r="H4" s="32" t="s">
        <v>53</v>
      </c>
      <c r="I4" s="35"/>
      <c r="K4" s="37" t="s">
        <v>109</v>
      </c>
      <c r="L4" s="61" t="s">
        <v>110</v>
      </c>
    </row>
    <row r="5" spans="1:12">
      <c r="A5" s="23" t="s">
        <v>65</v>
      </c>
      <c r="B5" s="2" t="e">
        <f>Cálculos!G53</f>
        <v>#DIV/0!</v>
      </c>
      <c r="C5" s="2" t="e">
        <f>0.187*B5</f>
        <v>#DIV/0!</v>
      </c>
      <c r="D5" s="2"/>
      <c r="E5" s="2" t="e">
        <f t="shared" ref="E5:E13" si="0">0*B5</f>
        <v>#DIV/0!</v>
      </c>
      <c r="F5" s="7" t="e">
        <f>Cálculos!C66</f>
        <v>#DIV/0!</v>
      </c>
      <c r="G5" s="33" t="e">
        <f>0.105525*F5</f>
        <v>#DIV/0!</v>
      </c>
      <c r="H5" s="33" t="e">
        <f>Cálculos!F66</f>
        <v>#DIV/0!</v>
      </c>
      <c r="I5" s="76" t="s">
        <v>108</v>
      </c>
      <c r="J5" s="77"/>
      <c r="K5" s="60" t="e">
        <f>C14+D14</f>
        <v>#DIV/0!</v>
      </c>
      <c r="L5" s="2" t="e">
        <f>K5/(Cálculos!K15*(Cálculos!B10+Cálculos!B14))</f>
        <v>#DIV/0!</v>
      </c>
    </row>
    <row r="6" spans="1:12">
      <c r="A6" s="23" t="s">
        <v>66</v>
      </c>
      <c r="B6" s="2" t="e">
        <f>Cálculos!G54</f>
        <v>#DIV/0!</v>
      </c>
      <c r="C6" s="2" t="e">
        <f t="shared" ref="C6:C11" si="1">0.187*B6</f>
        <v>#DIV/0!</v>
      </c>
      <c r="D6" s="2"/>
      <c r="E6" s="2" t="e">
        <f t="shared" si="0"/>
        <v>#DIV/0!</v>
      </c>
      <c r="F6" s="7" t="e">
        <f>Cálculos!C67</f>
        <v>#DIV/0!</v>
      </c>
      <c r="G6" s="33" t="e">
        <f t="shared" ref="G6:G13" si="2">0.105525*F6</f>
        <v>#DIV/0!</v>
      </c>
      <c r="H6" s="33" t="e">
        <f>Cálculos!F67</f>
        <v>#DIV/0!</v>
      </c>
      <c r="I6" s="76" t="s">
        <v>111</v>
      </c>
      <c r="J6" s="77"/>
      <c r="K6" s="2" t="e">
        <f>E14</f>
        <v>#DIV/0!</v>
      </c>
      <c r="L6" s="2" t="e">
        <f>K6/(Cálculos!K15*(Cálculos!B10+Cálculos!B14))</f>
        <v>#DIV/0!</v>
      </c>
    </row>
    <row r="7" spans="1:12">
      <c r="A7" s="23" t="s">
        <v>67</v>
      </c>
      <c r="B7" s="2" t="e">
        <f>Cálculos!G55</f>
        <v>#DIV/0!</v>
      </c>
      <c r="C7" s="2" t="e">
        <f t="shared" si="1"/>
        <v>#DIV/0!</v>
      </c>
      <c r="D7" s="2"/>
      <c r="E7" s="2" t="e">
        <f t="shared" si="0"/>
        <v>#DIV/0!</v>
      </c>
      <c r="F7" s="7" t="e">
        <f>Cálculos!C68</f>
        <v>#DIV/0!</v>
      </c>
      <c r="G7" s="33" t="e">
        <f t="shared" si="2"/>
        <v>#DIV/0!</v>
      </c>
      <c r="H7" s="33" t="e">
        <f>Cálculos!F68</f>
        <v>#DIV/0!</v>
      </c>
      <c r="I7" s="76" t="s">
        <v>112</v>
      </c>
      <c r="J7" s="77"/>
      <c r="K7" s="2" t="e">
        <f>G14+H14</f>
        <v>#DIV/0!</v>
      </c>
      <c r="L7" s="2" t="e">
        <f>K7/(Cálculos!K15*(Cálculos!B10+Cálculos!B14))</f>
        <v>#DIV/0!</v>
      </c>
    </row>
    <row r="8" spans="1:12">
      <c r="A8" s="23" t="s">
        <v>1</v>
      </c>
      <c r="B8" s="2" t="e">
        <f>Cálculos!G56</f>
        <v>#DIV/0!</v>
      </c>
      <c r="C8" s="2" t="e">
        <f t="shared" si="1"/>
        <v>#DIV/0!</v>
      </c>
      <c r="D8" s="2"/>
      <c r="E8" s="2" t="e">
        <f t="shared" si="0"/>
        <v>#DIV/0!</v>
      </c>
      <c r="F8" s="7" t="e">
        <f>Cálculos!C69</f>
        <v>#DIV/0!</v>
      </c>
      <c r="G8" s="33" t="e">
        <f t="shared" si="2"/>
        <v>#DIV/0!</v>
      </c>
      <c r="H8" s="7" t="e">
        <f>Cálculos!F69</f>
        <v>#DIV/0!</v>
      </c>
    </row>
    <row r="9" spans="1:12">
      <c r="A9" s="23" t="s">
        <v>2</v>
      </c>
      <c r="B9" s="2" t="e">
        <f>Cálculos!G57</f>
        <v>#DIV/0!</v>
      </c>
      <c r="C9" s="2" t="e">
        <f t="shared" si="1"/>
        <v>#DIV/0!</v>
      </c>
      <c r="D9" s="2"/>
      <c r="E9" s="2" t="e">
        <f t="shared" si="0"/>
        <v>#DIV/0!</v>
      </c>
      <c r="F9" s="7" t="e">
        <f>Cálculos!C70</f>
        <v>#DIV/0!</v>
      </c>
      <c r="G9" s="33" t="e">
        <f t="shared" si="2"/>
        <v>#DIV/0!</v>
      </c>
      <c r="H9" s="33" t="e">
        <f>Cálculos!F70</f>
        <v>#DIV/0!</v>
      </c>
      <c r="I9" s="35"/>
    </row>
    <row r="10" spans="1:12">
      <c r="A10" s="23" t="s">
        <v>3</v>
      </c>
      <c r="B10" s="2" t="e">
        <f>Cálculos!G58</f>
        <v>#DIV/0!</v>
      </c>
      <c r="C10" s="2" t="e">
        <f t="shared" si="1"/>
        <v>#DIV/0!</v>
      </c>
      <c r="D10" s="2"/>
      <c r="E10" s="2" t="e">
        <f t="shared" si="0"/>
        <v>#DIV/0!</v>
      </c>
      <c r="F10" s="7" t="e">
        <f>Cálculos!C71</f>
        <v>#DIV/0!</v>
      </c>
      <c r="G10" s="33" t="e">
        <f t="shared" si="2"/>
        <v>#DIV/0!</v>
      </c>
      <c r="H10" s="33" t="e">
        <f>Cálculos!F71</f>
        <v>#DIV/0!</v>
      </c>
      <c r="I10" s="35"/>
    </row>
    <row r="11" spans="1:12">
      <c r="A11" s="23" t="s">
        <v>64</v>
      </c>
      <c r="B11" s="2" t="e">
        <f>Cálculos!G59</f>
        <v>#DIV/0!</v>
      </c>
      <c r="C11" s="2" t="e">
        <f t="shared" si="1"/>
        <v>#DIV/0!</v>
      </c>
      <c r="D11" s="2"/>
      <c r="E11" s="2" t="e">
        <f t="shared" si="0"/>
        <v>#DIV/0!</v>
      </c>
      <c r="F11" s="7" t="e">
        <f>Cálculos!C72</f>
        <v>#DIV/0!</v>
      </c>
      <c r="G11" s="33" t="e">
        <f t="shared" si="2"/>
        <v>#DIV/0!</v>
      </c>
      <c r="H11" s="33" t="e">
        <f>Cálculos!F72</f>
        <v>#DIV/0!</v>
      </c>
      <c r="I11" s="35"/>
    </row>
    <row r="12" spans="1:12">
      <c r="A12" s="23" t="s">
        <v>4</v>
      </c>
      <c r="B12" s="2" t="e">
        <f>Cálculos!G60</f>
        <v>#DIV/0!</v>
      </c>
      <c r="C12" s="2" t="e">
        <f>0.238*B12</f>
        <v>#DIV/0!</v>
      </c>
      <c r="D12" s="2"/>
      <c r="E12" s="2" t="e">
        <f t="shared" si="0"/>
        <v>#DIV/0!</v>
      </c>
      <c r="F12" s="7" t="e">
        <f>Cálculos!C73</f>
        <v>#DIV/0!</v>
      </c>
      <c r="G12" s="33" t="e">
        <f t="shared" si="2"/>
        <v>#DIV/0!</v>
      </c>
      <c r="H12" s="33" t="e">
        <f>Cálculos!F73</f>
        <v>#DIV/0!</v>
      </c>
      <c r="I12" s="35"/>
    </row>
    <row r="13" spans="1:12">
      <c r="A13" s="23" t="s">
        <v>5</v>
      </c>
      <c r="B13" s="2" t="e">
        <f>Cálculos!G61</f>
        <v>#DIV/0!</v>
      </c>
      <c r="C13" s="2" t="e">
        <f>0.238*B13</f>
        <v>#DIV/0!</v>
      </c>
      <c r="D13" s="2"/>
      <c r="E13" s="2" t="e">
        <f t="shared" si="0"/>
        <v>#DIV/0!</v>
      </c>
      <c r="F13" s="7" t="e">
        <f>Cálculos!C74</f>
        <v>#DIV/0!</v>
      </c>
      <c r="G13" s="33" t="e">
        <f t="shared" si="2"/>
        <v>#DIV/0!</v>
      </c>
      <c r="H13" s="33" t="e">
        <f>Cálculos!F74</f>
        <v>#DIV/0!</v>
      </c>
      <c r="I13" s="35"/>
    </row>
    <row r="14" spans="1:12">
      <c r="A14" s="36" t="s">
        <v>52</v>
      </c>
      <c r="B14" s="7" t="e">
        <f>Cálculos!G62</f>
        <v>#DIV/0!</v>
      </c>
      <c r="C14" s="7" t="e">
        <f>SUM(C5:C13)</f>
        <v>#DIV/0!</v>
      </c>
      <c r="D14" s="7" t="e">
        <f>0.119*(B14-C14*14/17)</f>
        <v>#DIV/0!</v>
      </c>
      <c r="E14" s="2" t="e">
        <f>SUM(E5:E13)</f>
        <v>#DIV/0!</v>
      </c>
      <c r="F14" s="7" t="e">
        <f>Cálculos!C75</f>
        <v>#DIV/0!</v>
      </c>
      <c r="G14" s="33" t="e">
        <f>SUM(G5:G13)</f>
        <v>#DIV/0!</v>
      </c>
      <c r="H14" s="33" t="e">
        <f>Cálculos!F75</f>
        <v>#DIV/0!</v>
      </c>
      <c r="I14" s="40"/>
    </row>
    <row r="15" spans="1:12">
      <c r="A15" s="59"/>
      <c r="B15" s="8"/>
      <c r="C15" s="8"/>
      <c r="D15" s="8"/>
      <c r="E15" s="34"/>
      <c r="F15" s="8"/>
      <c r="G15" s="8"/>
      <c r="H15" s="8"/>
      <c r="I15" s="34"/>
    </row>
    <row r="16" spans="1:12">
      <c r="D16" s="34"/>
    </row>
    <row r="17" spans="4:4">
      <c r="D17" s="34"/>
    </row>
    <row r="18" spans="4:4">
      <c r="D18" s="34"/>
    </row>
  </sheetData>
  <mergeCells count="3">
    <mergeCell ref="I6:J6"/>
    <mergeCell ref="I7:J7"/>
    <mergeCell ref="I5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15" sqref="A15"/>
    </sheetView>
  </sheetViews>
  <sheetFormatPr baseColWidth="10" defaultRowHeight="15"/>
  <sheetData>
    <row r="1" spans="1:1">
      <c r="A1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7" spans="1:1">
      <c r="A7" t="s">
        <v>75</v>
      </c>
    </row>
    <row r="8" spans="1:1">
      <c r="A8" t="s">
        <v>76</v>
      </c>
    </row>
    <row r="10" spans="1:1">
      <c r="A10" t="s">
        <v>79</v>
      </c>
    </row>
    <row r="11" spans="1:1">
      <c r="A11" t="s">
        <v>80</v>
      </c>
    </row>
    <row r="14" spans="1:1">
      <c r="A14" t="s">
        <v>97</v>
      </c>
    </row>
    <row r="15" spans="1:1">
      <c r="A15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D1:J15"/>
  <sheetViews>
    <sheetView workbookViewId="0">
      <selection activeCell="J2" sqref="J2"/>
    </sheetView>
  </sheetViews>
  <sheetFormatPr baseColWidth="10" defaultRowHeight="15"/>
  <sheetData>
    <row r="1" spans="4:10">
      <c r="J1">
        <v>1</v>
      </c>
    </row>
    <row r="3" spans="4:10">
      <c r="D3">
        <v>28</v>
      </c>
    </row>
    <row r="4" spans="4:10">
      <c r="D4">
        <v>33</v>
      </c>
    </row>
    <row r="5" spans="4:10">
      <c r="D5">
        <v>33</v>
      </c>
    </row>
    <row r="10" spans="4:10">
      <c r="D10">
        <v>443</v>
      </c>
    </row>
    <row r="11" spans="4:10">
      <c r="H11">
        <f>SUM(D4:D10)</f>
        <v>509</v>
      </c>
    </row>
    <row r="15" spans="4:10">
      <c r="H15">
        <f>D10*J1</f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Entrada de datos</vt:lpstr>
      <vt:lpstr>Cálculos</vt:lpstr>
      <vt:lpstr>Resultados</vt:lpstr>
      <vt:lpstr>modificaciones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Media</cp:lastModifiedBy>
  <cp:lastPrinted>2015-07-25T08:21:52Z</cp:lastPrinted>
  <dcterms:created xsi:type="dcterms:W3CDTF">2015-01-31T11:54:32Z</dcterms:created>
  <dcterms:modified xsi:type="dcterms:W3CDTF">2015-08-11T10:53:50Z</dcterms:modified>
</cp:coreProperties>
</file>